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11370" windowHeight="12555"/>
  </bookViews>
  <sheets>
    <sheet name="ESSE THERM in opera" sheetId="8" r:id="rId1"/>
    <sheet name="Dati e Calcolo ESSE THERM" sheetId="7" state="hidden" r:id="rId2"/>
  </sheets>
  <definedNames>
    <definedName name="altezze">'ESSE THERM in opera'!$N$12:$N$16</definedName>
    <definedName name="Altezze2">'ESSE THERM in opera'!$N$11:$N$16</definedName>
    <definedName name="_xlnm.Print_Area" localSheetId="1">'Dati e Calcolo ESSE THERM'!$B$2:$H$38,'Dati e Calcolo ESSE THERM'!$B$42:$H$86</definedName>
    <definedName name="_xlnm.Print_Area" localSheetId="0">'ESSE THERM in opera'!$B$2:$H$55</definedName>
    <definedName name="cem">'ESSE THERM in opera'!$P$11:$P$17</definedName>
    <definedName name="diametri">'ESSE THERM in opera'!$O$13:$O$16</definedName>
    <definedName name="Ferri2">'ESSE THERM in opera'!$O$11:$O$16</definedName>
    <definedName name="modelli">'ESSE THERM in opera'!$M$11:$M$16</definedName>
    <definedName name="modello">'ESSE THERM in opera'!$M$11:$M$16</definedName>
    <definedName name="Modello2">'ESSE THERM in opera'!$M$11:$M$18</definedName>
  </definedNames>
  <calcPr calcId="152511"/>
</workbook>
</file>

<file path=xl/calcChain.xml><?xml version="1.0" encoding="utf-8"?>
<calcChain xmlns="http://schemas.openxmlformats.org/spreadsheetml/2006/main">
  <c r="E31" i="8" l="1"/>
  <c r="G47" i="8"/>
  <c r="P8" i="8" l="1"/>
  <c r="R8" i="8" s="1"/>
  <c r="P7" i="8"/>
  <c r="R7" i="8" s="1"/>
  <c r="P6" i="8"/>
  <c r="R6" i="8" s="1"/>
  <c r="K7" i="8"/>
  <c r="L7" i="8" s="1"/>
  <c r="K8" i="8"/>
  <c r="L8" i="8" s="1"/>
  <c r="K5" i="8"/>
  <c r="L5" i="8" s="1"/>
  <c r="D3" i="7"/>
  <c r="G19" i="7"/>
  <c r="G33" i="7"/>
  <c r="G27" i="7"/>
  <c r="G25" i="7"/>
  <c r="G20" i="7"/>
  <c r="G18" i="7"/>
  <c r="G16" i="7"/>
  <c r="R9" i="8" l="1"/>
  <c r="S9" i="8" s="1"/>
  <c r="H9" i="8" s="1"/>
  <c r="L9" i="8"/>
  <c r="K9" i="8" s="1"/>
  <c r="H8" i="8" s="1"/>
  <c r="D6" i="7"/>
  <c r="C7" i="7"/>
  <c r="G24" i="7" l="1"/>
  <c r="E9" i="7"/>
  <c r="E7" i="7"/>
  <c r="G17" i="7"/>
  <c r="M14" i="7" l="1"/>
  <c r="G15" i="7"/>
  <c r="O14" i="7"/>
  <c r="P14" i="7" l="1"/>
  <c r="Q14" i="7" s="1"/>
  <c r="M16" i="7"/>
  <c r="P49" i="7"/>
  <c r="R23" i="7"/>
  <c r="C95" i="7"/>
  <c r="D95" i="7" s="1"/>
  <c r="C94" i="7"/>
  <c r="D94" i="7" s="1"/>
  <c r="G31" i="8" l="1"/>
  <c r="R63" i="7"/>
  <c r="R62" i="7"/>
  <c r="C52" i="8" l="1"/>
  <c r="M31" i="7"/>
  <c r="M30" i="7"/>
  <c r="M29" i="7"/>
  <c r="U54" i="7"/>
  <c r="U53" i="7"/>
  <c r="Q39" i="8"/>
  <c r="R25" i="7"/>
  <c r="H40" i="8"/>
  <c r="H39" i="8"/>
  <c r="Q33" i="8"/>
  <c r="Q31" i="8"/>
  <c r="M7" i="7"/>
  <c r="O7" i="7" s="1"/>
  <c r="W39" i="8" s="1"/>
  <c r="T43" i="8"/>
  <c r="T41" i="8"/>
  <c r="R32" i="8"/>
  <c r="R33" i="8"/>
  <c r="R31" i="8"/>
  <c r="P31" i="8"/>
  <c r="P33" i="8"/>
  <c r="Q32" i="8"/>
  <c r="P32" i="8"/>
  <c r="O32" i="8"/>
  <c r="O33" i="8"/>
  <c r="S33" i="8" s="1"/>
  <c r="O31" i="8"/>
  <c r="G34" i="7"/>
  <c r="E66" i="7"/>
  <c r="P52" i="7"/>
  <c r="P53" i="7" s="1"/>
  <c r="E13" i="7"/>
  <c r="M61" i="7" s="1"/>
  <c r="E11" i="7"/>
  <c r="G9" i="7"/>
  <c r="G52" i="7"/>
  <c r="G7" i="7"/>
  <c r="U57" i="7" l="1"/>
  <c r="T40" i="8"/>
  <c r="Q40" i="8" s="1"/>
  <c r="Q41" i="8" s="1"/>
  <c r="Q43" i="8" s="1"/>
  <c r="G94" i="7"/>
  <c r="M62" i="7"/>
  <c r="S31" i="8"/>
  <c r="T31" i="8" s="1"/>
  <c r="U55" i="7"/>
  <c r="O34" i="8"/>
  <c r="Q44" i="8" s="1"/>
  <c r="T39" i="8"/>
  <c r="P34" i="8"/>
  <c r="U32" i="8"/>
  <c r="V32" i="8" s="1"/>
  <c r="U31" i="8"/>
  <c r="V31" i="8" s="1"/>
  <c r="U33" i="8"/>
  <c r="V33" i="8" s="1"/>
  <c r="S32" i="8"/>
  <c r="T32" i="8" s="1"/>
  <c r="T33" i="8"/>
  <c r="G21" i="7"/>
  <c r="P17" i="7"/>
  <c r="P47" i="7"/>
  <c r="P48" i="7" s="1"/>
  <c r="G29" i="7"/>
  <c r="P44" i="7"/>
  <c r="P46" i="7" s="1"/>
  <c r="G48" i="7"/>
  <c r="M17" i="7"/>
  <c r="G64" i="7"/>
  <c r="G26" i="7" l="1"/>
  <c r="G50" i="7" s="1"/>
  <c r="G23" i="7"/>
  <c r="G44" i="7" s="1"/>
  <c r="G45" i="7" s="1"/>
  <c r="E95" i="7"/>
  <c r="F95" i="7" s="1"/>
  <c r="H95" i="7" s="1"/>
  <c r="M63" i="7"/>
  <c r="M64" i="7" s="1"/>
  <c r="G60" i="7" s="1"/>
  <c r="G53" i="7"/>
  <c r="G54" i="7" s="1"/>
  <c r="T44" i="8"/>
  <c r="Q42" i="8"/>
  <c r="S34" i="8"/>
  <c r="Q45" i="8"/>
  <c r="T45" i="8"/>
  <c r="T34" i="8"/>
  <c r="E36" i="8" s="1"/>
  <c r="U34" i="8"/>
  <c r="C40" i="8" s="1"/>
  <c r="V34" i="8"/>
  <c r="E37" i="8" s="1"/>
  <c r="P50" i="7"/>
  <c r="P54" i="7" s="1"/>
  <c r="P56" i="7" s="1"/>
  <c r="P57" i="7" s="1"/>
  <c r="G65" i="7"/>
  <c r="M19" i="7"/>
  <c r="M18" i="7"/>
  <c r="P18" i="7" s="1"/>
  <c r="P16" i="7" s="1"/>
  <c r="P19" i="7" s="1"/>
  <c r="P21" i="7"/>
  <c r="C39" i="8" l="1"/>
  <c r="E39" i="8" s="1"/>
  <c r="F39" i="8" s="1"/>
  <c r="P58" i="7"/>
  <c r="G49" i="7"/>
  <c r="G51" i="7" s="1"/>
  <c r="G55" i="7" s="1"/>
  <c r="D57" i="7" s="1"/>
  <c r="M20" i="7"/>
  <c r="W44" i="8" l="1"/>
  <c r="Y44" i="8" s="1"/>
  <c r="G42" i="8" s="1"/>
  <c r="W45" i="8"/>
  <c r="Y45" i="8" s="1"/>
  <c r="G43" i="8" s="1"/>
  <c r="G22" i="7"/>
  <c r="G61" i="7" s="1"/>
  <c r="G56" i="7"/>
  <c r="G66" i="7" s="1"/>
  <c r="G62" i="7" s="1"/>
  <c r="G72" i="7" s="1"/>
  <c r="E40" i="8" l="1"/>
  <c r="F40" i="8" s="1"/>
  <c r="E94" i="7"/>
  <c r="F94" i="7" s="1"/>
  <c r="H94" i="7" s="1"/>
  <c r="G30" i="7"/>
  <c r="G46" i="7"/>
  <c r="G70" i="7" s="1"/>
  <c r="G71" i="7"/>
  <c r="Q46" i="8" s="1"/>
  <c r="G44" i="8" s="1"/>
  <c r="F73" i="7"/>
  <c r="G69" i="7"/>
  <c r="H36" i="8" s="1"/>
  <c r="F36" i="8" s="1"/>
  <c r="Q47" i="8"/>
  <c r="G45" i="8" s="1"/>
  <c r="G46" i="8" l="1"/>
  <c r="B48" i="8" s="1"/>
  <c r="H37" i="8"/>
  <c r="F37" i="8" s="1"/>
  <c r="G59" i="7"/>
</calcChain>
</file>

<file path=xl/comments1.xml><?xml version="1.0" encoding="utf-8"?>
<comments xmlns="http://schemas.openxmlformats.org/spreadsheetml/2006/main">
  <authors>
    <author>Autore</author>
  </authors>
  <commentList>
    <comment ref="E31" authorId="0" shapeId="0">
      <text>
        <r>
          <rPr>
            <b/>
            <sz val="9"/>
            <color indexed="81"/>
            <rFont val="Tahoma"/>
            <family val="2"/>
          </rPr>
          <t>Calcolo automatico se soletta piena. Vieceversa inserire il peso del solaio.</t>
        </r>
      </text>
    </comment>
  </commentList>
</comments>
</file>

<file path=xl/sharedStrings.xml><?xml version="1.0" encoding="utf-8"?>
<sst xmlns="http://schemas.openxmlformats.org/spreadsheetml/2006/main" count="422" uniqueCount="309">
  <si>
    <t>Armatura taglio</t>
  </si>
  <si>
    <t>Armatura flessione</t>
  </si>
  <si>
    <t>Acciaio INOX AISI 316L</t>
  </si>
  <si>
    <t>B450C</t>
  </si>
  <si>
    <t>Calcestruzzo cilindro</t>
  </si>
  <si>
    <t>Materiali (valori in MPa)</t>
  </si>
  <si>
    <r>
      <t>f</t>
    </r>
    <r>
      <rPr>
        <vertAlign val="subscript"/>
        <sz val="11"/>
        <color theme="1"/>
        <rFont val="Calibri"/>
        <family val="2"/>
        <scheme val="minor"/>
      </rPr>
      <t>cd</t>
    </r>
  </si>
  <si>
    <t>mm</t>
  </si>
  <si>
    <t>kN</t>
  </si>
  <si>
    <t>H</t>
  </si>
  <si>
    <t>K</t>
  </si>
  <si>
    <t>Diametro ferro taglio</t>
  </si>
  <si>
    <t>Diametro ferro trazione</t>
  </si>
  <si>
    <t>Diametro Ferro a compressione</t>
  </si>
  <si>
    <t>Copriferro</t>
  </si>
  <si>
    <t>Altezza Esse Therm</t>
  </si>
  <si>
    <t>Spessore Isolante</t>
  </si>
  <si>
    <t>c</t>
  </si>
  <si>
    <t>Inclinazione armatura a taglio</t>
  </si>
  <si>
    <t>°</t>
  </si>
  <si>
    <t>D</t>
  </si>
  <si>
    <t>θ</t>
  </si>
  <si>
    <t>Altezza utile braccio</t>
  </si>
  <si>
    <t>z</t>
  </si>
  <si>
    <t>Profondità traliccio</t>
  </si>
  <si>
    <t>t</t>
  </si>
  <si>
    <t>L</t>
  </si>
  <si>
    <t>Diametro cilindro di calcestruzzo</t>
  </si>
  <si>
    <t>Dimesioni traliccio resistente</t>
  </si>
  <si>
    <t>Resistenza a compressione armatura</t>
  </si>
  <si>
    <t>con</t>
  </si>
  <si>
    <t>kNm</t>
  </si>
  <si>
    <t>Momento resitente</t>
  </si>
  <si>
    <t>inserire 0 in caso di assenza del calcestruzzo</t>
  </si>
  <si>
    <r>
      <t xml:space="preserve">Lunghezza non vincolata  </t>
    </r>
    <r>
      <rPr>
        <b/>
        <i/>
        <sz val="11"/>
        <color theme="1"/>
        <rFont val="Calibri"/>
        <family val="2"/>
        <scheme val="minor"/>
      </rPr>
      <t>l</t>
    </r>
  </si>
  <si>
    <t>[mm]</t>
  </si>
  <si>
    <r>
      <t xml:space="preserve">Coeff. lung. libera inf.  </t>
    </r>
    <r>
      <rPr>
        <b/>
        <i/>
        <sz val="11"/>
        <color theme="1"/>
        <rFont val="Calibri"/>
        <family val="2"/>
      </rPr>
      <t>α</t>
    </r>
  </si>
  <si>
    <t>[-]</t>
  </si>
  <si>
    <r>
      <t xml:space="preserve">Lung. libera d'infless.  </t>
    </r>
    <r>
      <rPr>
        <b/>
        <i/>
        <sz val="11"/>
        <color theme="1"/>
        <rFont val="Calibri"/>
        <family val="2"/>
        <scheme val="minor"/>
      </rPr>
      <t>l</t>
    </r>
    <r>
      <rPr>
        <b/>
        <i/>
        <vertAlign val="subscript"/>
        <sz val="11"/>
        <color theme="1"/>
        <rFont val="Calibri"/>
        <family val="2"/>
        <scheme val="minor"/>
      </rPr>
      <t>0</t>
    </r>
  </si>
  <si>
    <r>
      <t xml:space="preserve">Diametro superiore  </t>
    </r>
    <r>
      <rPr>
        <b/>
        <i/>
        <sz val="11"/>
        <color theme="1"/>
        <rFont val="Calibri"/>
        <family val="2"/>
        <scheme val="minor"/>
      </rPr>
      <t>φs</t>
    </r>
  </si>
  <si>
    <r>
      <t xml:space="preserve">Momento d'inerzia </t>
    </r>
    <r>
      <rPr>
        <b/>
        <i/>
        <sz val="11"/>
        <color theme="1"/>
        <rFont val="Calibri"/>
        <family val="2"/>
        <scheme val="minor"/>
      </rPr>
      <t>J</t>
    </r>
  </si>
  <si>
    <r>
      <t>[mm</t>
    </r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]</t>
    </r>
  </si>
  <si>
    <r>
      <t xml:space="preserve">Modulo elastico acciaio </t>
    </r>
    <r>
      <rPr>
        <b/>
        <i/>
        <sz val="11"/>
        <color theme="1"/>
        <rFont val="Calibri"/>
        <family val="2"/>
        <scheme val="minor"/>
      </rPr>
      <t>E</t>
    </r>
  </si>
  <si>
    <r>
      <t>[N/mm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</si>
  <si>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r>
      <t xml:space="preserve">Carico critico euleriano </t>
    </r>
    <r>
      <rPr>
        <b/>
        <i/>
        <sz val="11"/>
        <color theme="1"/>
        <rFont val="Calibri"/>
        <family val="2"/>
        <scheme val="minor"/>
      </rPr>
      <t>N</t>
    </r>
    <r>
      <rPr>
        <b/>
        <i/>
        <vertAlign val="subscript"/>
        <sz val="11"/>
        <color theme="1"/>
        <rFont val="Calibri"/>
        <family val="2"/>
        <scheme val="minor"/>
      </rPr>
      <t>CR</t>
    </r>
  </si>
  <si>
    <t>[N]</t>
  </si>
  <si>
    <r>
      <t xml:space="preserve">Coeff. riduzione area </t>
    </r>
    <r>
      <rPr>
        <b/>
        <i/>
        <sz val="11"/>
        <color theme="1"/>
        <rFont val="Calibri"/>
        <family val="2"/>
      </rPr>
      <t>β</t>
    </r>
    <r>
      <rPr>
        <b/>
        <i/>
        <vertAlign val="subscript"/>
        <sz val="11"/>
        <color theme="1"/>
        <rFont val="Calibri"/>
        <family val="2"/>
      </rPr>
      <t>A</t>
    </r>
  </si>
  <si>
    <r>
      <t xml:space="preserve">Resistenza caratt. acciaio </t>
    </r>
    <r>
      <rPr>
        <b/>
        <i/>
        <sz val="11"/>
        <color theme="1"/>
        <rFont val="Calibri"/>
        <family val="2"/>
      </rPr>
      <t>f</t>
    </r>
    <r>
      <rPr>
        <b/>
        <i/>
        <vertAlign val="subscript"/>
        <sz val="11"/>
        <color theme="1"/>
        <rFont val="Calibri"/>
        <family val="2"/>
      </rPr>
      <t>yk</t>
    </r>
  </si>
  <si>
    <r>
      <t xml:space="preserve">Snervamento acciaio </t>
    </r>
    <r>
      <rPr>
        <b/>
        <i/>
        <sz val="11"/>
        <color theme="1"/>
        <rFont val="Calibri"/>
        <family val="2"/>
      </rPr>
      <t>f</t>
    </r>
    <r>
      <rPr>
        <b/>
        <i/>
        <vertAlign val="subscript"/>
        <sz val="11"/>
        <color theme="1"/>
        <rFont val="Calibri"/>
        <family val="2"/>
      </rPr>
      <t>yd</t>
    </r>
  </si>
  <si>
    <r>
      <t xml:space="preserve">Snellezza adimensionalizzata </t>
    </r>
    <r>
      <rPr>
        <b/>
        <i/>
        <sz val="11"/>
        <color theme="1"/>
        <rFont val="Calibri"/>
        <family val="2"/>
      </rPr>
      <t>λ</t>
    </r>
  </si>
  <si>
    <r>
      <t xml:space="preserve">Coeff. d'imperfezione </t>
    </r>
    <r>
      <rPr>
        <b/>
        <i/>
        <sz val="11"/>
        <color theme="1"/>
        <rFont val="Calibri"/>
        <family val="2"/>
      </rPr>
      <t>α</t>
    </r>
  </si>
  <si>
    <r>
      <t xml:space="preserve">Coeff. forma/snellezza </t>
    </r>
    <r>
      <rPr>
        <b/>
        <i/>
        <sz val="11"/>
        <color theme="1"/>
        <rFont val="Calibri"/>
        <family val="2"/>
      </rPr>
      <t>Φ</t>
    </r>
  </si>
  <si>
    <r>
      <t xml:space="preserve">Coeff. d'instabilità </t>
    </r>
    <r>
      <rPr>
        <b/>
        <i/>
        <sz val="11"/>
        <color theme="1"/>
        <rFont val="Calibri"/>
        <family val="2"/>
      </rPr>
      <t>χ</t>
    </r>
  </si>
  <si>
    <r>
      <t xml:space="preserve">Resistenza di progetto </t>
    </r>
    <r>
      <rPr>
        <b/>
        <i/>
        <sz val="11"/>
        <color theme="1"/>
        <rFont val="Calibri"/>
        <family val="2"/>
      </rPr>
      <t>N</t>
    </r>
    <r>
      <rPr>
        <b/>
        <i/>
        <vertAlign val="subscript"/>
        <sz val="11"/>
        <color theme="1"/>
        <rFont val="Calibri"/>
        <family val="2"/>
      </rPr>
      <t>b,RD</t>
    </r>
  </si>
  <si>
    <t>[kN]</t>
  </si>
  <si>
    <t>χ</t>
  </si>
  <si>
    <r>
      <t>f</t>
    </r>
    <r>
      <rPr>
        <vertAlign val="subscript"/>
        <sz val="11"/>
        <color theme="1"/>
        <rFont val="Calibri"/>
        <family val="2"/>
        <scheme val="minor"/>
      </rPr>
      <t>yd</t>
    </r>
  </si>
  <si>
    <t>Δlf</t>
  </si>
  <si>
    <t>Δlp</t>
  </si>
  <si>
    <r>
      <t>tan</t>
    </r>
    <r>
      <rPr>
        <sz val="11"/>
        <color theme="1"/>
        <rFont val="Calibri"/>
        <family val="2"/>
      </rPr>
      <t>δ</t>
    </r>
    <r>
      <rPr>
        <vertAlign val="subscript"/>
        <sz val="11"/>
        <color theme="1"/>
        <rFont val="Calibri"/>
        <family val="2"/>
      </rPr>
      <t>u</t>
    </r>
  </si>
  <si>
    <r>
      <t>δ</t>
    </r>
    <r>
      <rPr>
        <vertAlign val="subscript"/>
        <sz val="11"/>
        <color theme="1"/>
        <rFont val="Calibri"/>
        <family val="2"/>
        <scheme val="minor"/>
      </rPr>
      <t>u</t>
    </r>
  </si>
  <si>
    <t>Deformabilità a taglio</t>
  </si>
  <si>
    <t>mm/kN</t>
  </si>
  <si>
    <r>
      <t>Δf</t>
    </r>
    <r>
      <rPr>
        <vertAlign val="subscript"/>
        <sz val="11"/>
        <color theme="1"/>
        <rFont val="Calibri"/>
        <family val="2"/>
      </rPr>
      <t>u</t>
    </r>
  </si>
  <si>
    <t>°/kNm</t>
  </si>
  <si>
    <t>Parametri di deformabilità ESSE THERM®</t>
  </si>
  <si>
    <r>
      <t>Deformazione massima a taglio V</t>
    </r>
    <r>
      <rPr>
        <vertAlign val="sub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>=V</t>
    </r>
    <r>
      <rPr>
        <vertAlign val="subscript"/>
        <sz val="11"/>
        <color theme="1"/>
        <rFont val="Calibri"/>
        <family val="2"/>
        <scheme val="minor"/>
      </rPr>
      <t>ED,SLU</t>
    </r>
  </si>
  <si>
    <r>
      <t>Rotazione massima a flessione M</t>
    </r>
    <r>
      <rPr>
        <vertAlign val="sub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>=M</t>
    </r>
    <r>
      <rPr>
        <vertAlign val="subscript"/>
        <sz val="11"/>
        <color theme="1"/>
        <rFont val="Calibri"/>
        <family val="2"/>
        <scheme val="minor"/>
      </rPr>
      <t>ED,SLU</t>
    </r>
  </si>
  <si>
    <t>Calcolo della derformabilità fessionale</t>
  </si>
  <si>
    <t>Momento resistente massimo SLU</t>
  </si>
  <si>
    <t>Taglio resistente massimo SLU</t>
  </si>
  <si>
    <t>Resistenza massima a trazione dell'armatura a taglio</t>
  </si>
  <si>
    <t>Resistenza a flessione massima - determinata dal puntone compresso</t>
  </si>
  <si>
    <t>Resistenza a taglio - determinata dall'armatura inclinata a taglio</t>
  </si>
  <si>
    <t>dati da inserire</t>
  </si>
  <si>
    <t>Deformabilita a flessione</t>
  </si>
  <si>
    <t>Resistenza collegamento ESSE THERM + barra in opera</t>
  </si>
  <si>
    <r>
      <t>M</t>
    </r>
    <r>
      <rPr>
        <b/>
        <vertAlign val="subscript"/>
        <sz val="11"/>
        <color theme="4"/>
        <rFont val="Calibri"/>
        <family val="2"/>
        <scheme val="minor"/>
      </rPr>
      <t>RD,MAX</t>
    </r>
  </si>
  <si>
    <r>
      <t>Φ</t>
    </r>
    <r>
      <rPr>
        <b/>
        <vertAlign val="subscript"/>
        <sz val="11"/>
        <color theme="4"/>
        <rFont val="Calibri"/>
        <family val="2"/>
        <scheme val="minor"/>
      </rPr>
      <t>f,max</t>
    </r>
  </si>
  <si>
    <t>MPa</t>
  </si>
  <si>
    <t>Momento resistente con Φ</t>
  </si>
  <si>
    <r>
      <t>M</t>
    </r>
    <r>
      <rPr>
        <vertAlign val="subscript"/>
        <sz val="11"/>
        <color theme="1"/>
        <rFont val="Calibri"/>
        <family val="2"/>
        <scheme val="minor"/>
      </rPr>
      <t>Rd,T</t>
    </r>
  </si>
  <si>
    <t>β</t>
  </si>
  <si>
    <t>α</t>
  </si>
  <si>
    <t>θ=β+α</t>
  </si>
  <si>
    <r>
      <t>b</t>
    </r>
    <r>
      <rPr>
        <vertAlign val="subscript"/>
        <sz val="11"/>
        <color theme="1"/>
        <rFont val="Calibri"/>
        <family val="2"/>
        <scheme val="minor"/>
      </rPr>
      <t>1</t>
    </r>
  </si>
  <si>
    <r>
      <t>b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</si>
  <si>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b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</si>
  <si>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1</t>
    </r>
  </si>
  <si>
    <r>
      <t>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</si>
  <si>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a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</si>
  <si>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angolo di inclinazione diagonale</t>
  </si>
  <si>
    <t>Verifica compatibilità geometrie</t>
  </si>
  <si>
    <t>Verifica ad instabilità armatura compressa in assenza di calcestruzzo</t>
  </si>
  <si>
    <r>
      <t>N</t>
    </r>
    <r>
      <rPr>
        <vertAlign val="subscript"/>
        <sz val="11"/>
        <color theme="1"/>
        <rFont val="Calibri"/>
        <family val="2"/>
        <scheme val="minor"/>
      </rPr>
      <t>Rd,T</t>
    </r>
  </si>
  <si>
    <t>Passo dei dispositivi</t>
  </si>
  <si>
    <t>p</t>
  </si>
  <si>
    <t>Momento Resistente</t>
  </si>
  <si>
    <t>kNm/m</t>
  </si>
  <si>
    <t>kN/m</t>
  </si>
  <si>
    <t>Taglio Resistente</t>
  </si>
  <si>
    <r>
      <t>h</t>
    </r>
    <r>
      <rPr>
        <b/>
        <vertAlign val="subscript"/>
        <sz val="11"/>
        <rFont val="Calibri"/>
        <family val="2"/>
        <scheme val="minor"/>
      </rPr>
      <t>p</t>
    </r>
  </si>
  <si>
    <t>Altezza minima intradosso (copriferro inferiore)</t>
  </si>
  <si>
    <t>Commessa</t>
  </si>
  <si>
    <t>Peso proprio soletta</t>
  </si>
  <si>
    <t>Permanenti non strutturali</t>
  </si>
  <si>
    <t>Variabili</t>
  </si>
  <si>
    <t>Carichi distribuiti</t>
  </si>
  <si>
    <t>Carichi concentrati</t>
  </si>
  <si>
    <t>m</t>
  </si>
  <si>
    <r>
      <t>f</t>
    </r>
    <r>
      <rPr>
        <b/>
        <vertAlign val="subscript"/>
        <sz val="11"/>
        <color theme="1"/>
        <rFont val="Calibri"/>
        <family val="2"/>
        <scheme val="minor"/>
      </rPr>
      <t>ck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</si>
  <si>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yk</t>
    </r>
  </si>
  <si>
    <r>
      <t>q</t>
    </r>
    <r>
      <rPr>
        <vertAlign val="subscript"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/ g</t>
    </r>
    <r>
      <rPr>
        <vertAlign val="subscript"/>
        <sz val="11"/>
        <color theme="1"/>
        <rFont val="Calibri"/>
        <family val="2"/>
        <scheme val="minor"/>
      </rPr>
      <t xml:space="preserve">k </t>
    </r>
    <r>
      <rPr>
        <sz val="11"/>
        <color theme="1"/>
        <rFont val="Calibri"/>
        <family val="2"/>
        <scheme val="minor"/>
      </rPr>
      <t>[kN/m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</si>
  <si>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γ</t>
  </si>
  <si>
    <t>CARICHI</t>
  </si>
  <si>
    <t>Parametri geometrici connessione</t>
  </si>
  <si>
    <t>Lunghezza di confezione</t>
  </si>
  <si>
    <t>Confezionamento</t>
  </si>
  <si>
    <t>Numero elementi per ogni confezione</t>
  </si>
  <si>
    <t>n°</t>
  </si>
  <si>
    <r>
      <t>G</t>
    </r>
    <r>
      <rPr>
        <vertAlign val="subscript"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>/Q</t>
    </r>
    <r>
      <rPr>
        <vertAlign val="subscript"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[kN/m]</t>
    </r>
  </si>
  <si>
    <r>
      <t>q</t>
    </r>
    <r>
      <rPr>
        <vertAlign val="subscript"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/ g</t>
    </r>
    <r>
      <rPr>
        <vertAlign val="subscript"/>
        <sz val="11"/>
        <color theme="1"/>
        <rFont val="Calibri"/>
        <family val="2"/>
        <scheme val="minor"/>
      </rPr>
      <t xml:space="preserve">k </t>
    </r>
    <r>
      <rPr>
        <sz val="11"/>
        <color theme="1"/>
        <rFont val="Calibri"/>
        <family val="2"/>
        <scheme val="minor"/>
      </rPr>
      <t>[kN/m</t>
    </r>
    <r>
      <rPr>
        <sz val="11"/>
        <color theme="1"/>
        <rFont val="Calibri"/>
        <family val="2"/>
        <scheme val="minor"/>
      </rPr>
      <t>]</t>
    </r>
  </si>
  <si>
    <r>
      <t>G</t>
    </r>
    <r>
      <rPr>
        <vertAlign val="subscript"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>/Q</t>
    </r>
    <r>
      <rPr>
        <vertAlign val="subscript"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[kN/]</t>
    </r>
  </si>
  <si>
    <t>x [m]</t>
  </si>
  <si>
    <r>
      <t>M</t>
    </r>
    <r>
      <rPr>
        <b/>
        <vertAlign val="subscript"/>
        <sz val="11"/>
        <color theme="1"/>
        <rFont val="Calibri"/>
        <family val="2"/>
        <scheme val="minor"/>
      </rPr>
      <t>ED,SLE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</si>
  <si>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ED,SLU</t>
    </r>
  </si>
  <si>
    <r>
      <t>V</t>
    </r>
    <r>
      <rPr>
        <b/>
        <vertAlign val="subscript"/>
        <sz val="11"/>
        <color theme="1"/>
        <rFont val="Calibri"/>
        <family val="2"/>
        <scheme val="minor"/>
      </rPr>
      <t>ED,SLE</t>
    </r>
  </si>
  <si>
    <r>
      <t>V</t>
    </r>
    <r>
      <rPr>
        <b/>
        <vertAlign val="subscript"/>
        <sz val="11"/>
        <color theme="1"/>
        <rFont val="Calibri"/>
        <family val="2"/>
        <scheme val="minor"/>
      </rPr>
      <t>ED,SLU</t>
    </r>
  </si>
  <si>
    <t>Momento SLU</t>
  </si>
  <si>
    <t>Taglio SLU</t>
  </si>
  <si>
    <t>Verifica della deformazione [combinazione rara]</t>
  </si>
  <si>
    <t>Altezza della sezione dello sbalzo</t>
  </si>
  <si>
    <t>Δ</t>
  </si>
  <si>
    <t>As</t>
  </si>
  <si>
    <t>b</t>
  </si>
  <si>
    <t>n</t>
  </si>
  <si>
    <t>d</t>
  </si>
  <si>
    <r>
      <t>x</t>
    </r>
    <r>
      <rPr>
        <vertAlign val="subscript"/>
        <sz val="11"/>
        <color theme="1"/>
        <rFont val="Calibri"/>
        <family val="2"/>
        <scheme val="minor"/>
      </rPr>
      <t>1</t>
    </r>
  </si>
  <si>
    <r>
      <t>x</t>
    </r>
    <r>
      <rPr>
        <vertAlign val="subscript"/>
        <sz val="11"/>
        <color theme="2" tint="-9.9978637043366805E-2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</si>
  <si>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t>Inserzia sezione interamente reagente</t>
  </si>
  <si>
    <t>Inserzia sezione fessurata</t>
  </si>
  <si>
    <r>
      <t>J</t>
    </r>
    <r>
      <rPr>
        <b/>
        <vertAlign val="subscript"/>
        <sz val="11"/>
        <color theme="1"/>
        <rFont val="Calibri"/>
        <family val="2"/>
        <scheme val="minor"/>
      </rPr>
      <t>I</t>
    </r>
  </si>
  <si>
    <r>
      <t>mm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</si>
  <si>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r>
      <t>J</t>
    </r>
    <r>
      <rPr>
        <b/>
        <vertAlign val="subscript"/>
        <sz val="11"/>
        <color theme="1"/>
        <rFont val="Calibri"/>
        <family val="2"/>
        <scheme val="minor"/>
      </rPr>
      <t>II</t>
    </r>
  </si>
  <si>
    <t>Freccia carichi distribuiti</t>
  </si>
  <si>
    <r>
      <t>f</t>
    </r>
    <r>
      <rPr>
        <vertAlign val="subscript"/>
        <sz val="11"/>
        <color theme="1"/>
        <rFont val="Calibri"/>
        <family val="2"/>
        <scheme val="minor"/>
      </rPr>
      <t>1,I</t>
    </r>
  </si>
  <si>
    <r>
      <t>f</t>
    </r>
    <r>
      <rPr>
        <vertAlign val="subscript"/>
        <sz val="11"/>
        <color theme="1"/>
        <rFont val="Calibri"/>
        <family val="2"/>
        <scheme val="minor"/>
      </rPr>
      <t>1,II</t>
    </r>
  </si>
  <si>
    <t>Mcr</t>
  </si>
  <si>
    <r>
      <t>f</t>
    </r>
    <r>
      <rPr>
        <vertAlign val="subscript"/>
        <sz val="11"/>
        <color theme="1"/>
        <rFont val="Calibri"/>
        <family val="2"/>
        <scheme val="minor"/>
      </rPr>
      <t>cfm</t>
    </r>
  </si>
  <si>
    <t>Ϛ</t>
  </si>
  <si>
    <t>f</t>
  </si>
  <si>
    <t>Freccia carichi concentrati</t>
  </si>
  <si>
    <r>
      <t>f</t>
    </r>
    <r>
      <rPr>
        <vertAlign val="subscript"/>
        <sz val="11"/>
        <color theme="1"/>
        <rFont val="Calibri"/>
        <family val="2"/>
        <scheme val="minor"/>
      </rPr>
      <t>c,I</t>
    </r>
  </si>
  <si>
    <t>fc,II</t>
  </si>
  <si>
    <t>Freccia per deformazione a taglio ET</t>
  </si>
  <si>
    <t>Freccia per rotazione ET</t>
  </si>
  <si>
    <r>
      <t>f</t>
    </r>
    <r>
      <rPr>
        <b/>
        <vertAlign val="subscript"/>
        <sz val="11"/>
        <rFont val="Calibri"/>
        <family val="2"/>
        <scheme val="minor"/>
      </rPr>
      <t>TOT,rara</t>
    </r>
  </si>
  <si>
    <r>
      <t>f</t>
    </r>
    <r>
      <rPr>
        <b/>
        <vertAlign val="subscript"/>
        <sz val="11"/>
        <rFont val="Calibri"/>
        <family val="2"/>
        <scheme val="minor"/>
      </rPr>
      <t>LIMITE</t>
    </r>
  </si>
  <si>
    <r>
      <t>σ</t>
    </r>
    <r>
      <rPr>
        <vertAlign val="subscript"/>
        <sz val="9.35"/>
        <color theme="1"/>
        <rFont val="Calibri"/>
        <family val="2"/>
      </rPr>
      <t>s</t>
    </r>
    <r>
      <rPr>
        <sz val="9.35"/>
        <color theme="1"/>
        <rFont val="Calibri"/>
        <family val="2"/>
      </rPr>
      <t xml:space="preserve"> (Φ</t>
    </r>
    <r>
      <rPr>
        <vertAlign val="subscript"/>
        <sz val="9.35"/>
        <color theme="1"/>
        <rFont val="Calibri"/>
        <family val="2"/>
      </rPr>
      <t>f</t>
    </r>
    <r>
      <rPr>
        <sz val="9.35"/>
        <color theme="1"/>
        <rFont val="Calibri"/>
        <family val="2"/>
      </rPr>
      <t>)</t>
    </r>
  </si>
  <si>
    <t>Φs,lim</t>
  </si>
  <si>
    <t>Verifica di resistenza allo Stato Limite Ultimo</t>
  </si>
  <si>
    <t>Verifica delle tensioni in esercizio [combinazione rara]</t>
  </si>
  <si>
    <r>
      <t>σ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 (Φ</t>
    </r>
    <r>
      <rPr>
        <vertAlign val="subscript"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>)</t>
    </r>
  </si>
  <si>
    <t>Freccia sbalzo carichi distribuiti</t>
  </si>
  <si>
    <t>Freccia per deformazione a taglio ESSE THERM</t>
  </si>
  <si>
    <t>Freccia per rotazione ESSE THERM</t>
  </si>
  <si>
    <t>Freccia totale per combinazione in esecizio "rara"</t>
  </si>
  <si>
    <r>
      <t>f</t>
    </r>
    <r>
      <rPr>
        <vertAlign val="subscript"/>
        <sz val="11"/>
        <color theme="1"/>
        <rFont val="Calibri"/>
        <family val="2"/>
        <scheme val="minor"/>
      </rPr>
      <t>ctm</t>
    </r>
  </si>
  <si>
    <t>Fattore di instabilità (≠1 con ΦCLS=0)</t>
  </si>
  <si>
    <t>Resistenza a compressione pura armatura inferiore</t>
  </si>
  <si>
    <t>Resistenza a compressione armatura inferiore</t>
  </si>
  <si>
    <t>Aco</t>
  </si>
  <si>
    <t>mm2</t>
  </si>
  <si>
    <t>Ac1</t>
  </si>
  <si>
    <r>
      <t>F</t>
    </r>
    <r>
      <rPr>
        <vertAlign val="subscript"/>
        <sz val="11"/>
        <color theme="1"/>
        <rFont val="Calibri"/>
        <family val="2"/>
        <scheme val="minor"/>
      </rPr>
      <t>rdu</t>
    </r>
  </si>
  <si>
    <t>Resistenza a compressione calcestruzzo EC2 6.7</t>
  </si>
  <si>
    <t>Resistenza a compressione calcestruzzo nel cilindro</t>
  </si>
  <si>
    <t>Resistenza a compressione interfaccia tra i getti</t>
  </si>
  <si>
    <t>Sezione</t>
  </si>
  <si>
    <t>Prospetto</t>
  </si>
  <si>
    <t>Distribuiti</t>
  </si>
  <si>
    <t>Concentrati</t>
  </si>
  <si>
    <t>1/2</t>
  </si>
  <si>
    <t>2/2</t>
  </si>
  <si>
    <t>Vivaro di Dueville</t>
  </si>
  <si>
    <t>Luogo</t>
  </si>
  <si>
    <t>Data</t>
  </si>
  <si>
    <t>Il calcolatore</t>
  </si>
  <si>
    <t>Lunghezza sbalzo comprensiva di ESSE THERM®</t>
  </si>
  <si>
    <r>
      <t>N</t>
    </r>
    <r>
      <rPr>
        <b/>
        <vertAlign val="subscript"/>
        <sz val="11"/>
        <color theme="1"/>
        <rFont val="Calibri"/>
        <family val="2"/>
        <scheme val="minor"/>
      </rPr>
      <t>Rd,P</t>
    </r>
  </si>
  <si>
    <r>
      <t>f</t>
    </r>
    <r>
      <rPr>
        <vertAlign val="subscript"/>
        <sz val="11"/>
        <rFont val="Calibri"/>
        <family val="2"/>
        <scheme val="minor"/>
      </rPr>
      <t>d</t>
    </r>
  </si>
  <si>
    <r>
      <t>f</t>
    </r>
    <r>
      <rPr>
        <vertAlign val="subscript"/>
        <sz val="11"/>
        <rFont val="Calibri"/>
        <family val="2"/>
        <scheme val="minor"/>
      </rPr>
      <t>c</t>
    </r>
  </si>
  <si>
    <r>
      <t>f</t>
    </r>
    <r>
      <rPr>
        <vertAlign val="subscript"/>
        <sz val="11"/>
        <rFont val="Calibri"/>
        <family val="2"/>
        <scheme val="minor"/>
      </rPr>
      <t>ET,V</t>
    </r>
  </si>
  <si>
    <r>
      <t>f</t>
    </r>
    <r>
      <rPr>
        <vertAlign val="subscript"/>
        <sz val="11"/>
        <rFont val="Calibri"/>
        <family val="2"/>
        <scheme val="minor"/>
      </rPr>
      <t>ET,M</t>
    </r>
  </si>
  <si>
    <r>
      <t>V</t>
    </r>
    <r>
      <rPr>
        <b/>
        <vertAlign val="subscript"/>
        <sz val="12"/>
        <color rgb="FFFF0000"/>
        <rFont val="Calibri"/>
        <family val="2"/>
        <scheme val="minor"/>
      </rPr>
      <t>RD,MAX</t>
    </r>
  </si>
  <si>
    <r>
      <t>M</t>
    </r>
    <r>
      <rPr>
        <b/>
        <vertAlign val="subscript"/>
        <sz val="12"/>
        <color rgb="FFFF0000"/>
        <rFont val="Calibri"/>
        <family val="2"/>
        <scheme val="minor"/>
      </rPr>
      <t>Rd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</si>
  <si>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RD,SLU</t>
    </r>
  </si>
  <si>
    <r>
      <t>V</t>
    </r>
    <r>
      <rPr>
        <b/>
        <vertAlign val="subscript"/>
        <sz val="11"/>
        <color theme="1"/>
        <rFont val="Calibri"/>
        <family val="2"/>
        <scheme val="minor"/>
      </rPr>
      <t>RD,SLU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</si>
  <si>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ck,C</t>
    </r>
  </si>
  <si>
    <r>
      <t>f</t>
    </r>
    <r>
      <rPr>
        <vertAlign val="subscript"/>
        <sz val="11"/>
        <color theme="1"/>
        <rFont val="Calibri"/>
        <family val="2"/>
        <scheme val="minor"/>
      </rPr>
      <t>cd,C</t>
    </r>
  </si>
  <si>
    <r>
      <t>E</t>
    </r>
    <r>
      <rPr>
        <vertAlign val="subscript"/>
        <sz val="11"/>
        <color theme="1"/>
        <rFont val="Calibri"/>
        <family val="2"/>
        <scheme val="minor"/>
      </rPr>
      <t>cm,C</t>
    </r>
  </si>
  <si>
    <r>
      <t>E</t>
    </r>
    <r>
      <rPr>
        <vertAlign val="subscript"/>
        <sz val="11"/>
        <color theme="1"/>
        <rFont val="Calibri"/>
        <family val="2"/>
        <scheme val="minor"/>
      </rPr>
      <t>cm</t>
    </r>
  </si>
  <si>
    <r>
      <t>E</t>
    </r>
    <r>
      <rPr>
        <vertAlign val="subscript"/>
        <sz val="11"/>
        <color theme="1"/>
        <rFont val="Calibri"/>
        <family val="2"/>
        <scheme val="minor"/>
      </rPr>
      <t>s,IX</t>
    </r>
  </si>
  <si>
    <r>
      <t>E</t>
    </r>
    <r>
      <rPr>
        <vertAlign val="subscript"/>
        <sz val="11"/>
        <color theme="1"/>
        <rFont val="Calibri"/>
        <family val="2"/>
        <scheme val="minor"/>
      </rPr>
      <t>S</t>
    </r>
  </si>
  <si>
    <t>Resistenza ferro tesso in opera (3.2.1.2)</t>
  </si>
  <si>
    <t>Resistenza totale puntone compresso (3.2.1.1)</t>
  </si>
  <si>
    <r>
      <t>k*</t>
    </r>
    <r>
      <rPr>
        <b/>
        <vertAlign val="subscript"/>
        <sz val="11"/>
        <rFont val="Calibri"/>
        <family val="2"/>
        <scheme val="minor"/>
      </rPr>
      <t>v</t>
    </r>
  </si>
  <si>
    <r>
      <t>k*</t>
    </r>
    <r>
      <rPr>
        <b/>
        <vertAlign val="subscript"/>
        <sz val="11"/>
        <rFont val="Calibri"/>
        <family val="2"/>
        <scheme val="minor"/>
      </rPr>
      <t>δ</t>
    </r>
  </si>
  <si>
    <t>Modalità Collasso per flessione</t>
  </si>
  <si>
    <r>
      <t>m</t>
    </r>
    <r>
      <rPr>
        <b/>
        <vertAlign val="subscript"/>
        <sz val="14"/>
        <color rgb="FFFF0000"/>
        <rFont val="Calibri"/>
        <family val="2"/>
        <scheme val="minor"/>
      </rPr>
      <t>Rd</t>
    </r>
  </si>
  <si>
    <r>
      <t>v</t>
    </r>
    <r>
      <rPr>
        <b/>
        <vertAlign val="subscript"/>
        <sz val="14"/>
        <color rgb="FFFF0000"/>
        <rFont val="Calibri"/>
        <family val="2"/>
        <scheme val="minor"/>
      </rPr>
      <t>Rd</t>
    </r>
  </si>
  <si>
    <r>
      <t>k</t>
    </r>
    <r>
      <rPr>
        <b/>
        <vertAlign val="subscript"/>
        <sz val="14"/>
        <rFont val="Calibri"/>
        <family val="2"/>
        <scheme val="minor"/>
      </rPr>
      <t>v</t>
    </r>
  </si>
  <si>
    <r>
      <t>k</t>
    </r>
    <r>
      <rPr>
        <b/>
        <vertAlign val="subscript"/>
        <sz val="14"/>
        <rFont val="Calibri"/>
        <family val="2"/>
        <scheme val="minor"/>
      </rPr>
      <t>δ</t>
    </r>
  </si>
  <si>
    <t>Caratteristiche meccaniche ESSE THERM® [metro lineare]</t>
  </si>
  <si>
    <r>
      <t>N</t>
    </r>
    <r>
      <rPr>
        <vertAlign val="subscript"/>
        <sz val="10"/>
        <color theme="1"/>
        <rFont val="Calibri"/>
        <family val="2"/>
        <scheme val="minor"/>
      </rPr>
      <t>Rd,S</t>
    </r>
  </si>
  <si>
    <r>
      <t>Fattore di instabilità (</t>
    </r>
    <r>
      <rPr>
        <sz val="10"/>
        <color theme="1"/>
        <rFont val="Calibri"/>
        <family val="2"/>
      </rPr>
      <t>≠1 con Φ</t>
    </r>
    <r>
      <rPr>
        <vertAlign val="subscript"/>
        <sz val="10"/>
        <color theme="1"/>
        <rFont val="Calibri"/>
        <family val="2"/>
      </rPr>
      <t>CLS</t>
    </r>
    <r>
      <rPr>
        <sz val="10"/>
        <color theme="1"/>
        <rFont val="Calibri"/>
        <family val="2"/>
      </rPr>
      <t>=0)</t>
    </r>
  </si>
  <si>
    <r>
      <t>α</t>
    </r>
    <r>
      <rPr>
        <vertAlign val="subscript"/>
        <sz val="10"/>
        <color theme="1"/>
        <rFont val="Calibri"/>
        <family val="2"/>
      </rPr>
      <t>lp</t>
    </r>
  </si>
  <si>
    <r>
      <t>N</t>
    </r>
    <r>
      <rPr>
        <vertAlign val="subscript"/>
        <sz val="10"/>
        <color theme="1"/>
        <rFont val="Calibri"/>
        <family val="2"/>
        <scheme val="minor"/>
      </rPr>
      <t>Rd,s</t>
    </r>
  </si>
  <si>
    <r>
      <t>N</t>
    </r>
    <r>
      <rPr>
        <vertAlign val="subscript"/>
        <sz val="10"/>
        <color theme="1"/>
        <rFont val="Calibri"/>
        <family val="2"/>
        <scheme val="minor"/>
      </rPr>
      <t>RD,CLS</t>
    </r>
  </si>
  <si>
    <r>
      <t>F</t>
    </r>
    <r>
      <rPr>
        <vertAlign val="subscript"/>
        <sz val="10"/>
        <color theme="1"/>
        <rFont val="Calibri"/>
        <family val="2"/>
        <scheme val="minor"/>
      </rPr>
      <t>Rdu</t>
    </r>
  </si>
  <si>
    <r>
      <t>Resistenza a compressione globale (min N</t>
    </r>
    <r>
      <rPr>
        <vertAlign val="subscript"/>
        <sz val="10"/>
        <color theme="1"/>
        <rFont val="Calibri"/>
        <family val="2"/>
        <scheme val="minor"/>
      </rPr>
      <t>Rd,C</t>
    </r>
    <r>
      <rPr>
        <sz val="10"/>
        <color theme="1"/>
        <rFont val="Calibri"/>
        <family val="2"/>
        <scheme val="minor"/>
      </rPr>
      <t xml:space="preserve"> e F</t>
    </r>
    <r>
      <rPr>
        <vertAlign val="subscript"/>
        <sz val="10"/>
        <color theme="1"/>
        <rFont val="Calibri"/>
        <family val="2"/>
        <scheme val="minor"/>
      </rPr>
      <t>Rdu</t>
    </r>
    <r>
      <rPr>
        <sz val="10"/>
        <color theme="1"/>
        <rFont val="Calibri"/>
        <family val="2"/>
        <scheme val="minor"/>
      </rPr>
      <t>)</t>
    </r>
  </si>
  <si>
    <r>
      <t>N</t>
    </r>
    <r>
      <rPr>
        <vertAlign val="subscript"/>
        <sz val="10"/>
        <color theme="1"/>
        <rFont val="Calibri"/>
        <family val="2"/>
        <scheme val="minor"/>
      </rPr>
      <t>Rd,C</t>
    </r>
  </si>
  <si>
    <r>
      <t>N</t>
    </r>
    <r>
      <rPr>
        <vertAlign val="subscript"/>
        <sz val="10"/>
        <color theme="1"/>
        <rFont val="Calibri"/>
        <family val="2"/>
        <scheme val="minor"/>
      </rPr>
      <t>RD,Z</t>
    </r>
  </si>
  <si>
    <t>RELAZIONE DI CALCOLO ESSE THERM®</t>
  </si>
  <si>
    <r>
      <t>Limite di deformazione L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=2L/</t>
    </r>
  </si>
  <si>
    <t>Calcestruzzo impalcato</t>
  </si>
  <si>
    <t>Freccia sbalzo carichi concentrati</t>
  </si>
  <si>
    <r>
      <t>l</t>
    </r>
    <r>
      <rPr>
        <vertAlign val="subscript"/>
        <sz val="11"/>
        <color theme="1"/>
        <rFont val="Calibri"/>
        <family val="2"/>
        <scheme val="minor"/>
      </rPr>
      <t>p</t>
    </r>
  </si>
  <si>
    <t>Ing. ………</t>
  </si>
  <si>
    <t>Lunghezza minima di estensione armature per taglio</t>
  </si>
  <si>
    <t>Lunghezza di estensione delle armature</t>
  </si>
  <si>
    <t>Lunghezza di ancoraggio reale (D+z)</t>
  </si>
  <si>
    <r>
      <t>Φ</t>
    </r>
    <r>
      <rPr>
        <b/>
        <vertAlign val="subscript"/>
        <sz val="11"/>
        <color rgb="FF00B050"/>
        <rFont val="Calibri"/>
        <family val="2"/>
        <scheme val="minor"/>
      </rPr>
      <t>s</t>
    </r>
  </si>
  <si>
    <r>
      <t>Φ</t>
    </r>
    <r>
      <rPr>
        <b/>
        <vertAlign val="subscript"/>
        <sz val="11"/>
        <color theme="9" tint="-0.249977111117893"/>
        <rFont val="Calibri"/>
        <family val="2"/>
        <scheme val="minor"/>
      </rPr>
      <t>f</t>
    </r>
  </si>
  <si>
    <r>
      <t>Φ</t>
    </r>
    <r>
      <rPr>
        <b/>
        <vertAlign val="subscript"/>
        <sz val="11"/>
        <color rgb="FF00B0F0"/>
        <rFont val="Calibri"/>
        <family val="2"/>
        <scheme val="minor"/>
      </rPr>
      <t>p</t>
    </r>
  </si>
  <si>
    <r>
      <t>Φ</t>
    </r>
    <r>
      <rPr>
        <b/>
        <vertAlign val="subscript"/>
        <sz val="11"/>
        <color rgb="FF0070C0"/>
        <rFont val="Calibri"/>
        <family val="2"/>
        <scheme val="minor"/>
      </rPr>
      <t>CLS</t>
    </r>
  </si>
  <si>
    <t>lunghezza di ancoraggio delle armature compresse,valore critico solo per grandissimi sbalzi e armature a compressione molto grosse (dipende da D)</t>
  </si>
  <si>
    <t>ancoraggio per ripristino totale armature in compressione</t>
  </si>
  <si>
    <r>
      <t>D</t>
    </r>
    <r>
      <rPr>
        <vertAlign val="subscript"/>
        <sz val="11"/>
        <rFont val="Calibri"/>
        <family val="2"/>
        <scheme val="minor"/>
      </rPr>
      <t>min</t>
    </r>
  </si>
  <si>
    <r>
      <t>A</t>
    </r>
    <r>
      <rPr>
        <vertAlign val="subscript"/>
        <sz val="11"/>
        <color theme="1"/>
        <rFont val="Calibri"/>
        <family val="2"/>
      </rPr>
      <t>S</t>
    </r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</si>
  <si>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</si>
  <si>
    <t>M [kg]</t>
  </si>
  <si>
    <t>l [mm]</t>
  </si>
  <si>
    <t>m [kg/m]</t>
  </si>
  <si>
    <t>INOX</t>
  </si>
  <si>
    <t>ordinario</t>
  </si>
  <si>
    <t>Calcolo dell'incidenza dell'accio per ESSE THERM®</t>
  </si>
  <si>
    <t>Acciao</t>
  </si>
  <si>
    <t>Densità</t>
  </si>
  <si>
    <t>Aree barre</t>
  </si>
  <si>
    <t>massa lineare barra</t>
  </si>
  <si>
    <t>lunghezza barra</t>
  </si>
  <si>
    <t>peso barra</t>
  </si>
  <si>
    <t>n° elementi per confezione</t>
  </si>
  <si>
    <t>Peso totale acciao per confezione</t>
  </si>
  <si>
    <t>P [kg]</t>
  </si>
  <si>
    <r>
      <t>l</t>
    </r>
    <r>
      <rPr>
        <vertAlign val="subscript"/>
        <sz val="11"/>
        <rFont val="Arial"/>
        <family val="2"/>
      </rPr>
      <t>s</t>
    </r>
  </si>
  <si>
    <r>
      <t>α</t>
    </r>
    <r>
      <rPr>
        <vertAlign val="subscript"/>
        <sz val="10"/>
        <color theme="1"/>
        <rFont val="Calibri"/>
        <family val="2"/>
        <scheme val="minor"/>
      </rPr>
      <t>ls</t>
    </r>
  </si>
  <si>
    <t>Fattore di ancoraggio</t>
  </si>
  <si>
    <t>Caratteristiche meccaniche ESSE THERM®</t>
  </si>
  <si>
    <t>Fattore di ancoraggio armatura a taglio</t>
  </si>
  <si>
    <t>x</t>
  </si>
  <si>
    <t>CALCESTRUZZO RESISTENTE ? (x=SI)</t>
  </si>
  <si>
    <t>C45/55</t>
  </si>
  <si>
    <t>VERIFICA ARMATURA MINIMA A COMPRESSIONE 20%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</si>
  <si>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</si>
  <si>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A</t>
    </r>
    <r>
      <rPr>
        <vertAlign val="subscript"/>
        <sz val="11"/>
        <color theme="1"/>
        <rFont val="Calibri"/>
        <family val="2"/>
        <scheme val="minor"/>
      </rPr>
      <t>f</t>
    </r>
  </si>
  <si>
    <r>
      <t>A</t>
    </r>
    <r>
      <rPr>
        <vertAlign val="subscript"/>
        <sz val="11"/>
        <color theme="1"/>
        <rFont val="Calibri"/>
        <family val="2"/>
        <scheme val="minor"/>
      </rPr>
      <t>p</t>
    </r>
  </si>
  <si>
    <r>
      <t>A</t>
    </r>
    <r>
      <rPr>
        <vertAlign val="subscript"/>
        <sz val="11"/>
        <color theme="1"/>
        <rFont val="Calibri"/>
        <family val="2"/>
        <scheme val="minor"/>
      </rPr>
      <t>CLS</t>
    </r>
  </si>
  <si>
    <t>Area armatura a trazione</t>
  </si>
  <si>
    <t>Area armatura compressione</t>
  </si>
  <si>
    <t>Area lorda nocciolo di calcestruzzo a compressione</t>
  </si>
  <si>
    <t xml:space="preserve">Resistenza a trazione CLS </t>
  </si>
  <si>
    <t>Area netta nocciolo di calcestruzzo</t>
  </si>
  <si>
    <t>Area armatura a compressione nel nocciolo di calcestruzzo</t>
  </si>
  <si>
    <r>
      <t>A</t>
    </r>
    <r>
      <rPr>
        <vertAlign val="subscript"/>
        <sz val="11"/>
        <color theme="1"/>
        <rFont val="Calibri"/>
        <family val="2"/>
        <scheme val="minor"/>
      </rPr>
      <t>c</t>
    </r>
  </si>
  <si>
    <r>
      <t>A</t>
    </r>
    <r>
      <rPr>
        <vertAlign val="subscript"/>
        <sz val="13"/>
        <color theme="1"/>
        <rFont val="Calibri"/>
        <family val="2"/>
        <scheme val="minor"/>
      </rPr>
      <t>s</t>
    </r>
  </si>
  <si>
    <t>ET 6-8</t>
  </si>
  <si>
    <t>ET 6-12</t>
  </si>
  <si>
    <t>ET 8-8</t>
  </si>
  <si>
    <t>ET 8-12</t>
  </si>
  <si>
    <t>ET 10-8</t>
  </si>
  <si>
    <t>ET 10-12</t>
  </si>
  <si>
    <t>Modello</t>
  </si>
  <si>
    <t>Altezza</t>
  </si>
  <si>
    <t>20/25</t>
  </si>
  <si>
    <t>25/30</t>
  </si>
  <si>
    <t>28/35</t>
  </si>
  <si>
    <t>30/37</t>
  </si>
  <si>
    <t>32/40</t>
  </si>
  <si>
    <t>35/45</t>
  </si>
  <si>
    <t>40/50</t>
  </si>
  <si>
    <t>Compatibilità mod. altezza</t>
  </si>
  <si>
    <t>Compatibilità mod. diametro</t>
  </si>
  <si>
    <t>VERIFICA SBALZO ESSE THERM®</t>
  </si>
  <si>
    <t>CLS</t>
  </si>
  <si>
    <r>
      <t>φ</t>
    </r>
    <r>
      <rPr>
        <vertAlign val="subscript"/>
        <sz val="14"/>
        <rFont val="Calibri"/>
        <family val="2"/>
      </rPr>
      <t>f</t>
    </r>
  </si>
  <si>
    <t>S</t>
  </si>
  <si>
    <t>Dati del sistema di connessione ESSE THERM®</t>
  </si>
  <si>
    <t>Dati dello sbalzo</t>
  </si>
  <si>
    <t>ETmini8</t>
  </si>
  <si>
    <t>ETmini12</t>
  </si>
  <si>
    <t>mini</t>
  </si>
  <si>
    <t>CONTROLLO DIAMETRI</t>
  </si>
  <si>
    <t>…..</t>
  </si>
  <si>
    <t>Maggiorazione azioni per elemento d'angolo convesso? (si/no)</t>
  </si>
  <si>
    <t>AGGIUNTA 21/05/2014</t>
  </si>
  <si>
    <t>Dati da inserire o scegliere nell'elenco della casella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</si>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</sst>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i/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vertAlign val="subscript"/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vertAlign val="subscript"/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vertAlign val="subscript"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name val="Arial"/>
      <family val="2"/>
    </font>
    <font>
      <sz val="9.35"/>
      <color theme="1"/>
      <name val="Calibri"/>
      <family val="2"/>
    </font>
    <font>
      <sz val="11"/>
      <color theme="2" tint="-9.9978637043366805E-2"/>
      <name val="Calibri"/>
      <family val="2"/>
      <scheme val="minor"/>
    </font>
    <font>
      <vertAlign val="subscript"/>
      <sz val="11"/>
      <color theme="2" tint="-9.9978637043366805E-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bscript"/>
      <sz val="9.35"/>
      <color theme="1"/>
      <name val="Calibri"/>
      <family val="2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vertAlign val="subscript"/>
      <sz val="14"/>
      <color rgb="FFFF0000"/>
      <name val="Calibri"/>
      <family val="2"/>
      <scheme val="minor"/>
    </font>
    <font>
      <b/>
      <vertAlign val="subscript"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vertAlign val="subscript"/>
      <sz val="10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vertAlign val="subscript"/>
      <sz val="11"/>
      <color rgb="FF00B05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vertAlign val="subscript"/>
      <sz val="11"/>
      <color theme="9" tint="-0.249977111117893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vertAlign val="subscript"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vertAlign val="subscript"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bscript"/>
      <sz val="11"/>
      <name val="Arial"/>
      <family val="2"/>
    </font>
    <font>
      <vertAlign val="subscript"/>
      <sz val="13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</font>
    <font>
      <b/>
      <sz val="12"/>
      <name val="Calibri"/>
      <family val="2"/>
      <scheme val="minor"/>
    </font>
    <font>
      <vertAlign val="subscript"/>
      <sz val="14"/>
      <name val="Calibri"/>
      <family val="2"/>
    </font>
    <font>
      <b/>
      <sz val="11"/>
      <color rgb="FFFF00FF"/>
      <name val="Calibri"/>
      <family val="2"/>
      <scheme val="minor"/>
    </font>
    <font>
      <b/>
      <sz val="11"/>
      <color rgb="FF3333CC"/>
      <name val="Calibri"/>
      <family val="2"/>
      <scheme val="minor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1" fontId="0" fillId="0" borderId="0" xfId="0" applyNumberFormat="1" applyFill="1" applyBorder="1"/>
    <xf numFmtId="0" fontId="0" fillId="0" borderId="3" xfId="0" applyBorder="1"/>
    <xf numFmtId="0" fontId="0" fillId="0" borderId="2" xfId="0" applyBorder="1"/>
    <xf numFmtId="2" fontId="0" fillId="0" borderId="2" xfId="0" applyNumberFormat="1" applyFill="1" applyBorder="1"/>
    <xf numFmtId="0" fontId="1" fillId="2" borderId="24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0" borderId="6" xfId="0" applyBorder="1"/>
    <xf numFmtId="2" fontId="0" fillId="2" borderId="24" xfId="0" applyNumberFormat="1" applyFill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2" fontId="0" fillId="0" borderId="0" xfId="0" applyNumberFormat="1" applyBorder="1"/>
    <xf numFmtId="0" fontId="0" fillId="5" borderId="2" xfId="0" applyFill="1" applyBorder="1" applyAlignment="1"/>
    <xf numFmtId="0" fontId="0" fillId="5" borderId="3" xfId="0" applyFill="1" applyBorder="1" applyAlignment="1"/>
    <xf numFmtId="0" fontId="0" fillId="5" borderId="2" xfId="0" applyFill="1" applyBorder="1"/>
    <xf numFmtId="0" fontId="0" fillId="5" borderId="3" xfId="0" applyFill="1" applyBorder="1"/>
    <xf numFmtId="0" fontId="0" fillId="0" borderId="1" xfId="0" applyBorder="1"/>
    <xf numFmtId="2" fontId="0" fillId="0" borderId="5" xfId="0" applyNumberFormat="1" applyBorder="1"/>
    <xf numFmtId="0" fontId="8" fillId="0" borderId="0" xfId="0" applyFont="1" applyFill="1" applyBorder="1" applyAlignment="1">
      <alignment horizontal="left" vertical="center"/>
    </xf>
    <xf numFmtId="0" fontId="0" fillId="0" borderId="0" xfId="0" applyFill="1" applyBorder="1" applyAlignment="1"/>
    <xf numFmtId="0" fontId="3" fillId="0" borderId="0" xfId="0" applyFont="1" applyFill="1" applyBorder="1" applyAlignment="1">
      <alignment horizontal="left" vertical="center"/>
    </xf>
    <xf numFmtId="0" fontId="0" fillId="6" borderId="0" xfId="0" applyFill="1"/>
    <xf numFmtId="0" fontId="0" fillId="6" borderId="0" xfId="0" applyFill="1" applyBorder="1"/>
    <xf numFmtId="0" fontId="0" fillId="0" borderId="2" xfId="0" applyFill="1" applyBorder="1"/>
    <xf numFmtId="0" fontId="0" fillId="0" borderId="3" xfId="0" applyFill="1" applyBorder="1"/>
    <xf numFmtId="1" fontId="0" fillId="0" borderId="2" xfId="0" applyNumberFormat="1" applyFill="1" applyBorder="1"/>
    <xf numFmtId="2" fontId="0" fillId="0" borderId="5" xfId="0" applyNumberFormat="1" applyFill="1" applyBorder="1"/>
    <xf numFmtId="0" fontId="0" fillId="0" borderId="6" xfId="0" applyFill="1" applyBorder="1"/>
    <xf numFmtId="2" fontId="1" fillId="0" borderId="1" xfId="0" applyNumberFormat="1" applyFont="1" applyBorder="1"/>
    <xf numFmtId="0" fontId="0" fillId="0" borderId="4" xfId="0" applyBorder="1"/>
    <xf numFmtId="0" fontId="17" fillId="0" borderId="3" xfId="0" applyFont="1" applyBorder="1"/>
    <xf numFmtId="0" fontId="0" fillId="2" borderId="50" xfId="0" applyFill="1" applyBorder="1"/>
    <xf numFmtId="0" fontId="0" fillId="0" borderId="43" xfId="0" applyBorder="1" applyAlignment="1"/>
    <xf numFmtId="0" fontId="14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1" fontId="17" fillId="0" borderId="41" xfId="0" applyNumberFormat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1" fontId="17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7" fillId="0" borderId="16" xfId="0" applyFont="1" applyBorder="1"/>
    <xf numFmtId="0" fontId="11" fillId="0" borderId="3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1" fontId="12" fillId="3" borderId="5" xfId="0" applyNumberFormat="1" applyFont="1" applyFill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3" xfId="0" applyFont="1" applyBorder="1"/>
    <xf numFmtId="1" fontId="17" fillId="0" borderId="43" xfId="0" applyNumberFormat="1" applyFont="1" applyBorder="1"/>
    <xf numFmtId="0" fontId="17" fillId="0" borderId="64" xfId="0" applyFont="1" applyBorder="1"/>
    <xf numFmtId="0" fontId="17" fillId="0" borderId="66" xfId="0" applyFont="1" applyBorder="1"/>
    <xf numFmtId="0" fontId="0" fillId="0" borderId="65" xfId="0" applyBorder="1"/>
    <xf numFmtId="0" fontId="0" fillId="0" borderId="66" xfId="0" applyBorder="1"/>
    <xf numFmtId="0" fontId="20" fillId="0" borderId="58" xfId="0" applyFont="1" applyBorder="1" applyAlignment="1">
      <alignment horizontal="center" vertical="center"/>
    </xf>
    <xf numFmtId="1" fontId="11" fillId="7" borderId="5" xfId="0" applyNumberFormat="1" applyFont="1" applyFill="1" applyBorder="1" applyAlignment="1">
      <alignment horizontal="center" vertical="center"/>
    </xf>
    <xf numFmtId="0" fontId="17" fillId="0" borderId="43" xfId="0" applyFont="1" applyBorder="1" applyAlignment="1"/>
    <xf numFmtId="0" fontId="0" fillId="0" borderId="0" xfId="0" applyFont="1"/>
    <xf numFmtId="0" fontId="28" fillId="0" borderId="0" xfId="0" applyFont="1" applyFill="1" applyBorder="1" applyAlignment="1">
      <alignment vertical="center"/>
    </xf>
    <xf numFmtId="0" fontId="3" fillId="3" borderId="55" xfId="0" applyFont="1" applyFill="1" applyBorder="1" applyAlignment="1">
      <alignment horizontal="center" vertical="center"/>
    </xf>
    <xf numFmtId="2" fontId="3" fillId="3" borderId="55" xfId="0" applyNumberFormat="1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/>
    </xf>
    <xf numFmtId="2" fontId="18" fillId="4" borderId="5" xfId="0" applyNumberFormat="1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8" fillId="5" borderId="5" xfId="0" applyFont="1" applyFill="1" applyBorder="1" applyAlignment="1">
      <alignment horizontal="center"/>
    </xf>
    <xf numFmtId="0" fontId="18" fillId="5" borderId="5" xfId="0" applyFont="1" applyFill="1" applyBorder="1"/>
    <xf numFmtId="0" fontId="18" fillId="5" borderId="6" xfId="0" applyFont="1" applyFill="1" applyBorder="1"/>
    <xf numFmtId="0" fontId="17" fillId="0" borderId="2" xfId="0" applyFont="1" applyBorder="1" applyAlignment="1">
      <alignment horizontal="center"/>
    </xf>
    <xf numFmtId="1" fontId="17" fillId="0" borderId="15" xfId="0" applyNumberFormat="1" applyFont="1" applyBorder="1" applyAlignment="1">
      <alignment horizontal="center"/>
    </xf>
    <xf numFmtId="0" fontId="17" fillId="6" borderId="0" xfId="0" applyFont="1" applyFill="1" applyBorder="1" applyAlignment="1"/>
    <xf numFmtId="0" fontId="31" fillId="5" borderId="24" xfId="0" applyFont="1" applyFill="1" applyBorder="1" applyAlignment="1">
      <alignment horizontal="center" vertical="center"/>
    </xf>
    <xf numFmtId="2" fontId="31" fillId="5" borderId="24" xfId="0" applyNumberFormat="1" applyFont="1" applyFill="1" applyBorder="1" applyAlignment="1">
      <alignment horizontal="center" vertical="center"/>
    </xf>
    <xf numFmtId="0" fontId="31" fillId="5" borderId="25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2" fontId="31" fillId="4" borderId="15" xfId="0" applyNumberFormat="1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164" fontId="20" fillId="2" borderId="8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164" fontId="20" fillId="2" borderId="15" xfId="0" applyNumberFormat="1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0" fillId="0" borderId="60" xfId="0" applyBorder="1"/>
    <xf numFmtId="0" fontId="0" fillId="0" borderId="58" xfId="0" applyBorder="1"/>
    <xf numFmtId="0" fontId="0" fillId="0" borderId="59" xfId="0" applyBorder="1"/>
    <xf numFmtId="0" fontId="35" fillId="7" borderId="21" xfId="0" applyFont="1" applyFill="1" applyBorder="1" applyAlignment="1">
      <alignment horizontal="center" vertical="center"/>
    </xf>
    <xf numFmtId="2" fontId="35" fillId="7" borderId="21" xfId="0" applyNumberFormat="1" applyFont="1" applyFill="1" applyBorder="1" applyAlignment="1">
      <alignment horizontal="center" vertical="center"/>
    </xf>
    <xf numFmtId="0" fontId="35" fillId="7" borderId="22" xfId="0" applyFont="1" applyFill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/>
    </xf>
    <xf numFmtId="2" fontId="35" fillId="7" borderId="2" xfId="0" applyNumberFormat="1" applyFont="1" applyFill="1" applyBorder="1" applyAlignment="1">
      <alignment horizontal="center" vertical="center"/>
    </xf>
    <xf numFmtId="0" fontId="35" fillId="7" borderId="3" xfId="0" applyFont="1" applyFill="1" applyBorder="1" applyAlignment="1">
      <alignment horizontal="center" vertical="center"/>
    </xf>
    <xf numFmtId="0" fontId="37" fillId="7" borderId="2" xfId="0" applyFont="1" applyFill="1" applyBorder="1" applyAlignment="1">
      <alignment horizontal="center"/>
    </xf>
    <xf numFmtId="2" fontId="35" fillId="7" borderId="2" xfId="0" applyNumberFormat="1" applyFont="1" applyFill="1" applyBorder="1" applyAlignment="1">
      <alignment horizontal="center"/>
    </xf>
    <xf numFmtId="0" fontId="35" fillId="7" borderId="3" xfId="0" applyFont="1" applyFill="1" applyBorder="1"/>
    <xf numFmtId="0" fontId="35" fillId="3" borderId="15" xfId="0" applyFont="1" applyFill="1" applyBorder="1" applyAlignment="1">
      <alignment horizontal="center" vertical="center"/>
    </xf>
    <xf numFmtId="2" fontId="35" fillId="3" borderId="15" xfId="0" applyNumberFormat="1" applyFont="1" applyFill="1" applyBorder="1" applyAlignment="1">
      <alignment horizontal="center" vertical="center"/>
    </xf>
    <xf numFmtId="0" fontId="35" fillId="3" borderId="16" xfId="0" applyFont="1" applyFill="1" applyBorder="1" applyAlignment="1">
      <alignment horizontal="center" vertical="center"/>
    </xf>
    <xf numFmtId="0" fontId="35" fillId="3" borderId="41" xfId="0" applyFont="1" applyFill="1" applyBorder="1" applyAlignment="1">
      <alignment horizontal="center" vertical="center"/>
    </xf>
    <xf numFmtId="2" fontId="35" fillId="3" borderId="41" xfId="0" applyNumberFormat="1" applyFont="1" applyFill="1" applyBorder="1" applyAlignment="1">
      <alignment horizontal="center" vertical="center"/>
    </xf>
    <xf numFmtId="0" fontId="35" fillId="3" borderId="42" xfId="0" applyFont="1" applyFill="1" applyBorder="1" applyAlignment="1">
      <alignment horizontal="center" vertical="center"/>
    </xf>
    <xf numFmtId="0" fontId="35" fillId="7" borderId="2" xfId="0" applyFont="1" applyFill="1" applyBorder="1" applyAlignment="1">
      <alignment horizontal="center"/>
    </xf>
    <xf numFmtId="0" fontId="35" fillId="7" borderId="3" xfId="0" applyFont="1" applyFill="1" applyBorder="1" applyAlignment="1">
      <alignment horizontal="center"/>
    </xf>
    <xf numFmtId="0" fontId="17" fillId="0" borderId="58" xfId="0" applyFont="1" applyBorder="1" applyAlignment="1">
      <alignment horizontal="center"/>
    </xf>
    <xf numFmtId="0" fontId="17" fillId="0" borderId="58" xfId="0" applyFont="1" applyBorder="1"/>
    <xf numFmtId="1" fontId="17" fillId="0" borderId="58" xfId="0" applyNumberFormat="1" applyFont="1" applyBorder="1"/>
    <xf numFmtId="0" fontId="17" fillId="0" borderId="59" xfId="0" applyFont="1" applyBorder="1"/>
    <xf numFmtId="49" fontId="39" fillId="0" borderId="67" xfId="0" applyNumberFormat="1" applyFont="1" applyBorder="1" applyAlignment="1">
      <alignment horizontal="right"/>
    </xf>
    <xf numFmtId="49" fontId="39" fillId="0" borderId="9" xfId="0" applyNumberFormat="1" applyFont="1" applyBorder="1" applyAlignment="1">
      <alignment horizontal="right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2" fontId="18" fillId="5" borderId="5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46" fillId="0" borderId="57" xfId="0" applyFont="1" applyBorder="1" applyAlignment="1">
      <alignment horizontal="center" vertical="center"/>
    </xf>
    <xf numFmtId="0" fontId="46" fillId="0" borderId="5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8" fillId="9" borderId="2" xfId="0" applyFont="1" applyFill="1" applyBorder="1" applyAlignment="1">
      <alignment horizontal="center" vertical="center" wrapText="1"/>
    </xf>
    <xf numFmtId="0" fontId="48" fillId="9" borderId="2" xfId="0" applyFont="1" applyFill="1" applyBorder="1" applyAlignment="1">
      <alignment horizontal="center" vertical="center"/>
    </xf>
    <xf numFmtId="2" fontId="48" fillId="9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1" fontId="17" fillId="0" borderId="15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35" fillId="7" borderId="24" xfId="0" applyFont="1" applyFill="1" applyBorder="1" applyAlignment="1">
      <alignment horizontal="center"/>
    </xf>
    <xf numFmtId="0" fontId="0" fillId="0" borderId="0" xfId="0" applyBorder="1" applyAlignment="1">
      <alignment horizontal="left" vertical="center"/>
    </xf>
    <xf numFmtId="2" fontId="0" fillId="7" borderId="24" xfId="0" applyNumberFormat="1" applyFont="1" applyFill="1" applyBorder="1" applyAlignment="1">
      <alignment horizontal="center"/>
    </xf>
    <xf numFmtId="0" fontId="0" fillId="7" borderId="25" xfId="0" applyFont="1" applyFill="1" applyBorder="1" applyAlignment="1">
      <alignment horizontal="center"/>
    </xf>
    <xf numFmtId="164" fontId="14" fillId="2" borderId="21" xfId="0" applyNumberFormat="1" applyFont="1" applyFill="1" applyBorder="1" applyAlignment="1">
      <alignment horizontal="center" vertical="center"/>
    </xf>
    <xf numFmtId="164" fontId="14" fillId="2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2" fillId="10" borderId="5" xfId="0" applyFont="1" applyFill="1" applyBorder="1" applyAlignment="1">
      <alignment horizontal="center" vertical="center"/>
    </xf>
    <xf numFmtId="0" fontId="44" fillId="10" borderId="5" xfId="0" applyFont="1" applyFill="1" applyBorder="1" applyAlignment="1">
      <alignment horizontal="center" vertical="center"/>
    </xf>
    <xf numFmtId="0" fontId="42" fillId="10" borderId="4" xfId="0" applyFont="1" applyFill="1" applyBorder="1" applyAlignment="1">
      <alignment horizontal="center" vertical="center"/>
    </xf>
    <xf numFmtId="9" fontId="3" fillId="10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0" xfId="0" applyNumberFormat="1" applyFont="1"/>
    <xf numFmtId="1" fontId="0" fillId="0" borderId="0" xfId="0" applyNumberFormat="1" applyFont="1" applyFill="1" applyBorder="1" applyAlignment="1">
      <alignment vertical="center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14" fillId="2" borderId="24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42" fillId="2" borderId="55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0" fillId="7" borderId="15" xfId="0" applyFill="1" applyBorder="1" applyAlignment="1">
      <alignment horizontal="center" vertical="center"/>
    </xf>
    <xf numFmtId="2" fontId="0" fillId="7" borderId="15" xfId="0" applyNumberFormat="1" applyFill="1" applyBorder="1" applyAlignment="1">
      <alignment horizontal="center" vertical="center"/>
    </xf>
    <xf numFmtId="1" fontId="0" fillId="7" borderId="15" xfId="0" applyNumberForma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/>
    </xf>
    <xf numFmtId="2" fontId="0" fillId="7" borderId="41" xfId="0" applyNumberFormat="1" applyFill="1" applyBorder="1" applyAlignment="1">
      <alignment horizontal="center" vertical="center"/>
    </xf>
    <xf numFmtId="1" fontId="0" fillId="7" borderId="41" xfId="0" applyNumberFormat="1" applyFill="1" applyBorder="1" applyAlignment="1">
      <alignment horizontal="center" vertical="center"/>
    </xf>
    <xf numFmtId="0" fontId="0" fillId="7" borderId="42" xfId="0" applyFill="1" applyBorder="1" applyAlignment="1">
      <alignment horizontal="center" vertical="center"/>
    </xf>
    <xf numFmtId="0" fontId="17" fillId="7" borderId="41" xfId="0" applyFont="1" applyFill="1" applyBorder="1" applyAlignment="1">
      <alignment horizontal="center" vertical="center"/>
    </xf>
    <xf numFmtId="0" fontId="0" fillId="9" borderId="2" xfId="0" applyFill="1" applyBorder="1"/>
    <xf numFmtId="0" fontId="14" fillId="9" borderId="2" xfId="0" applyFont="1" applyFill="1" applyBorder="1" applyAlignment="1" applyProtection="1">
      <alignment horizontal="center" vertical="center"/>
      <protection locked="0"/>
    </xf>
    <xf numFmtId="0" fontId="40" fillId="9" borderId="21" xfId="0" applyFont="1" applyFill="1" applyBorder="1" applyAlignment="1" applyProtection="1">
      <alignment horizontal="center" vertical="center"/>
      <protection locked="0"/>
    </xf>
    <xf numFmtId="0" fontId="44" fillId="9" borderId="21" xfId="0" applyFont="1" applyFill="1" applyBorder="1" applyAlignment="1" applyProtection="1">
      <alignment horizontal="center" vertical="center"/>
      <protection locked="0"/>
    </xf>
    <xf numFmtId="0" fontId="46" fillId="9" borderId="57" xfId="0" applyFont="1" applyFill="1" applyBorder="1" applyAlignment="1" applyProtection="1">
      <alignment horizontal="center" vertical="center"/>
      <protection locked="0"/>
    </xf>
    <xf numFmtId="1" fontId="11" fillId="9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Fill="1" applyProtection="1"/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Protection="1"/>
    <xf numFmtId="2" fontId="0" fillId="0" borderId="0" xfId="0" applyNumberForma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/>
    <xf numFmtId="0" fontId="3" fillId="0" borderId="0" xfId="0" applyFont="1" applyFill="1" applyBorder="1" applyAlignment="1" applyProtection="1">
      <alignment vertical="center"/>
    </xf>
    <xf numFmtId="1" fontId="0" fillId="0" borderId="0" xfId="0" applyNumberFormat="1" applyFill="1" applyBorder="1" applyProtection="1"/>
    <xf numFmtId="0" fontId="8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/>
    </xf>
    <xf numFmtId="2" fontId="12" fillId="0" borderId="0" xfId="0" applyNumberFormat="1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/>
    </xf>
    <xf numFmtId="1" fontId="12" fillId="0" borderId="0" xfId="0" applyNumberFormat="1" applyFont="1" applyFill="1" applyBorder="1" applyAlignment="1" applyProtection="1">
      <alignment horizontal="center"/>
    </xf>
    <xf numFmtId="2" fontId="0" fillId="0" borderId="0" xfId="0" applyNumberFormat="1" applyFill="1" applyBorder="1" applyProtection="1"/>
    <xf numFmtId="0" fontId="3" fillId="0" borderId="0" xfId="0" applyFont="1" applyFill="1" applyBorder="1" applyAlignment="1" applyProtection="1"/>
    <xf numFmtId="0" fontId="0" fillId="0" borderId="0" xfId="0" applyFont="1" applyFill="1" applyBorder="1" applyAlignment="1" applyProtection="1">
      <alignment horizontal="center" vertical="center"/>
    </xf>
    <xf numFmtId="2" fontId="1" fillId="0" borderId="0" xfId="0" applyNumberFormat="1" applyFont="1" applyFill="1" applyBorder="1" applyProtection="1"/>
    <xf numFmtId="0" fontId="16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vertical="center"/>
    </xf>
    <xf numFmtId="1" fontId="11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horizontal="center" vertical="center"/>
    </xf>
    <xf numFmtId="2" fontId="18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/>
    </xf>
    <xf numFmtId="0" fontId="0" fillId="0" borderId="0" xfId="0" applyProtection="1">
      <protection hidden="1"/>
    </xf>
    <xf numFmtId="0" fontId="53" fillId="0" borderId="9" xfId="0" applyFont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20" fillId="0" borderId="65" xfId="0" applyFont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20" fillId="0" borderId="66" xfId="0" applyFont="1" applyBorder="1" applyAlignment="1" applyProtection="1">
      <alignment horizontal="center" vertical="center"/>
      <protection hidden="1"/>
    </xf>
    <xf numFmtId="0" fontId="20" fillId="9" borderId="49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51" fillId="11" borderId="7" xfId="0" applyFont="1" applyFill="1" applyBorder="1" applyAlignment="1" applyProtection="1">
      <alignment horizontal="center" vertical="center"/>
      <protection hidden="1"/>
    </xf>
    <xf numFmtId="0" fontId="51" fillId="9" borderId="8" xfId="0" applyFont="1" applyFill="1" applyBorder="1" applyAlignment="1" applyProtection="1">
      <alignment horizontal="center" vertical="center"/>
      <protection locked="0" hidden="1"/>
    </xf>
    <xf numFmtId="0" fontId="51" fillId="11" borderId="8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52" fillId="11" borderId="4" xfId="0" applyFont="1" applyFill="1" applyBorder="1" applyAlignment="1" applyProtection="1">
      <alignment horizontal="center"/>
      <protection hidden="1"/>
    </xf>
    <xf numFmtId="0" fontId="51" fillId="9" borderId="5" xfId="0" applyFont="1" applyFill="1" applyBorder="1" applyAlignment="1" applyProtection="1">
      <alignment horizontal="center" vertical="center"/>
      <protection locked="0" hidden="1"/>
    </xf>
    <xf numFmtId="0" fontId="51" fillId="11" borderId="5" xfId="0" applyFont="1" applyFill="1" applyBorder="1" applyAlignment="1" applyProtection="1">
      <alignment horizontal="center" vertical="center"/>
      <protection hidden="1"/>
    </xf>
    <xf numFmtId="0" fontId="53" fillId="0" borderId="6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hidden="1"/>
    </xf>
    <xf numFmtId="0" fontId="52" fillId="7" borderId="65" xfId="0" applyFont="1" applyFill="1" applyBorder="1" applyAlignment="1" applyProtection="1">
      <alignment horizontal="center" vertical="center"/>
      <protection hidden="1"/>
    </xf>
    <xf numFmtId="0" fontId="51" fillId="7" borderId="0" xfId="0" applyFont="1" applyFill="1" applyBorder="1" applyAlignment="1" applyProtection="1">
      <alignment horizontal="center" vertical="center"/>
      <protection hidden="1"/>
    </xf>
    <xf numFmtId="0" fontId="0" fillId="7" borderId="0" xfId="0" applyFill="1" applyBorder="1" applyAlignment="1" applyProtection="1">
      <alignment horizontal="center" vertical="center"/>
      <protection hidden="1"/>
    </xf>
    <xf numFmtId="0" fontId="11" fillId="7" borderId="66" xfId="0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14" fillId="0" borderId="8" xfId="0" applyFont="1" applyBorder="1" applyAlignment="1" applyProtection="1">
      <alignment horizontal="center"/>
      <protection hidden="1"/>
    </xf>
    <xf numFmtId="2" fontId="14" fillId="9" borderId="8" xfId="0" applyNumberFormat="1" applyFont="1" applyFill="1" applyBorder="1" applyAlignment="1" applyProtection="1">
      <alignment horizontal="center"/>
      <protection locked="0" hidden="1"/>
    </xf>
    <xf numFmtId="0" fontId="14" fillId="0" borderId="9" xfId="0" applyFont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14" fillId="0" borderId="15" xfId="0" applyFont="1" applyBorder="1" applyAlignment="1" applyProtection="1">
      <alignment horizontal="center"/>
      <protection hidden="1"/>
    </xf>
    <xf numFmtId="0" fontId="14" fillId="9" borderId="15" xfId="0" applyFont="1" applyFill="1" applyBorder="1" applyAlignment="1" applyProtection="1">
      <alignment horizontal="center"/>
      <protection locked="0" hidden="1"/>
    </xf>
    <xf numFmtId="0" fontId="14" fillId="0" borderId="16" xfId="0" applyFont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0" borderId="2" xfId="0" applyBorder="1" applyAlignment="1" applyProtection="1">
      <alignment horizontal="center" shrinkToFit="1"/>
      <protection hidden="1"/>
    </xf>
    <xf numFmtId="0" fontId="0" fillId="0" borderId="2" xfId="0" applyBorder="1" applyAlignment="1" applyProtection="1">
      <alignment horizontal="center"/>
      <protection hidden="1"/>
    </xf>
    <xf numFmtId="2" fontId="56" fillId="9" borderId="2" xfId="0" applyNumberFormat="1" applyFont="1" applyFill="1" applyBorder="1" applyAlignment="1" applyProtection="1">
      <alignment horizontal="center" vertical="center"/>
      <protection locked="0" hidden="1"/>
    </xf>
    <xf numFmtId="0" fontId="56" fillId="0" borderId="3" xfId="0" applyFont="1" applyFill="1" applyBorder="1" applyAlignment="1" applyProtection="1">
      <alignment horizontal="center" vertical="center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2" fontId="0" fillId="0" borderId="0" xfId="0" applyNumberFormat="1" applyFill="1" applyBorder="1" applyAlignment="1" applyProtection="1">
      <alignment horizontal="center" vertical="center"/>
      <protection hidden="1"/>
    </xf>
    <xf numFmtId="2" fontId="0" fillId="0" borderId="0" xfId="0" applyNumberFormat="1" applyProtection="1">
      <protection hidden="1"/>
    </xf>
    <xf numFmtId="2" fontId="55" fillId="9" borderId="5" xfId="0" applyNumberFormat="1" applyFont="1" applyFill="1" applyBorder="1" applyAlignment="1" applyProtection="1">
      <alignment horizontal="center" vertical="center"/>
      <protection locked="0" hidden="1"/>
    </xf>
    <xf numFmtId="0" fontId="55" fillId="0" borderId="6" xfId="0" applyFont="1" applyFill="1" applyBorder="1" applyAlignment="1" applyProtection="1">
      <alignment horizontal="center" vertical="center"/>
      <protection hidden="1"/>
    </xf>
    <xf numFmtId="2" fontId="0" fillId="0" borderId="0" xfId="0" applyNumberFormat="1" applyBorder="1" applyAlignment="1" applyProtection="1">
      <alignment horizontal="center" vertical="center"/>
      <protection hidden="1"/>
    </xf>
    <xf numFmtId="2" fontId="3" fillId="0" borderId="0" xfId="0" applyNumberFormat="1" applyFont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2" fontId="0" fillId="0" borderId="2" xfId="0" applyNumberFormat="1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2" fontId="0" fillId="0" borderId="3" xfId="0" applyNumberFormat="1" applyFill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2" fontId="0" fillId="0" borderId="5" xfId="0" applyNumberFormat="1" applyFill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3" fillId="0" borderId="5" xfId="0" applyFont="1" applyFill="1" applyBorder="1" applyAlignment="1" applyProtection="1">
      <alignment horizontal="center" vertical="center"/>
      <protection hidden="1"/>
    </xf>
    <xf numFmtId="2" fontId="0" fillId="0" borderId="6" xfId="0" applyNumberFormat="1" applyFill="1" applyBorder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1" fontId="0" fillId="0" borderId="2" xfId="0" applyNumberFormat="1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1" fontId="0" fillId="0" borderId="5" xfId="0" applyNumberFormat="1" applyFill="1" applyBorder="1" applyAlignment="1" applyProtection="1">
      <alignment horizontal="center" vertical="center"/>
      <protection hidden="1"/>
    </xf>
    <xf numFmtId="0" fontId="0" fillId="0" borderId="5" xfId="0" applyFill="1" applyBorder="1" applyAlignment="1" applyProtection="1">
      <alignment vertical="center"/>
      <protection hidden="1"/>
    </xf>
    <xf numFmtId="0" fontId="0" fillId="0" borderId="6" xfId="0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7" fillId="0" borderId="2" xfId="0" applyFont="1" applyFill="1" applyBorder="1" applyAlignment="1" applyProtection="1">
      <alignment horizontal="center" vertical="center"/>
      <protection hidden="1"/>
    </xf>
    <xf numFmtId="165" fontId="17" fillId="0" borderId="2" xfId="0" applyNumberFormat="1" applyFont="1" applyFill="1" applyBorder="1" applyAlignment="1" applyProtection="1">
      <alignment horizontal="center" vertical="center"/>
      <protection hidden="1"/>
    </xf>
    <xf numFmtId="0" fontId="17" fillId="0" borderId="3" xfId="0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14" fillId="0" borderId="2" xfId="0" applyFont="1" applyFill="1" applyBorder="1" applyAlignment="1" applyProtection="1">
      <alignment horizontal="center" vertical="center"/>
      <protection hidden="1"/>
    </xf>
    <xf numFmtId="165" fontId="14" fillId="0" borderId="2" xfId="0" applyNumberFormat="1" applyFont="1" applyFill="1" applyBorder="1" applyAlignment="1" applyProtection="1">
      <alignment horizontal="center" vertical="center"/>
      <protection hidden="1"/>
    </xf>
    <xf numFmtId="0" fontId="14" fillId="0" borderId="3" xfId="0" applyFont="1" applyFill="1" applyBorder="1" applyAlignment="1" applyProtection="1">
      <alignment horizontal="center" vertical="center"/>
      <protection hidden="1"/>
    </xf>
    <xf numFmtId="0" fontId="17" fillId="2" borderId="2" xfId="0" applyFont="1" applyFill="1" applyBorder="1" applyAlignment="1" applyProtection="1">
      <alignment horizontal="left" vertical="center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14" fontId="3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20" fillId="0" borderId="4" xfId="0" applyFont="1" applyBorder="1" applyAlignment="1" applyProtection="1">
      <alignment horizontal="center" vertical="center"/>
      <protection hidden="1"/>
    </xf>
    <xf numFmtId="0" fontId="20" fillId="0" borderId="5" xfId="0" applyFont="1" applyBorder="1" applyAlignment="1" applyProtection="1">
      <alignment horizontal="center" vertical="center"/>
      <protection hidden="1"/>
    </xf>
    <xf numFmtId="0" fontId="20" fillId="9" borderId="5" xfId="0" applyFont="1" applyFill="1" applyBorder="1" applyAlignment="1" applyProtection="1">
      <alignment horizontal="center" vertical="center"/>
      <protection locked="0" hidden="1"/>
    </xf>
    <xf numFmtId="0" fontId="20" fillId="9" borderId="6" xfId="0" applyFont="1" applyFill="1" applyBorder="1" applyAlignment="1" applyProtection="1">
      <alignment horizontal="center" vertical="center"/>
      <protection locked="0" hidden="1"/>
    </xf>
    <xf numFmtId="0" fontId="34" fillId="12" borderId="73" xfId="0" applyFont="1" applyFill="1" applyBorder="1" applyAlignment="1" applyProtection="1">
      <alignment horizontal="center"/>
      <protection hidden="1"/>
    </xf>
    <xf numFmtId="0" fontId="34" fillId="12" borderId="74" xfId="0" applyFont="1" applyFill="1" applyBorder="1" applyAlignment="1" applyProtection="1">
      <alignment horizontal="center"/>
      <protection hidden="1"/>
    </xf>
    <xf numFmtId="0" fontId="34" fillId="12" borderId="10" xfId="0" applyFont="1" applyFill="1" applyBorder="1" applyAlignment="1" applyProtection="1">
      <alignment horizontal="center"/>
      <protection hidden="1"/>
    </xf>
    <xf numFmtId="0" fontId="0" fillId="11" borderId="8" xfId="0" applyFill="1" applyBorder="1" applyAlignment="1" applyProtection="1">
      <alignment horizontal="center" vertical="center"/>
      <protection hidden="1"/>
    </xf>
    <xf numFmtId="0" fontId="0" fillId="11" borderId="5" xfId="0" applyFill="1" applyBorder="1" applyAlignment="1" applyProtection="1">
      <alignment horizontal="center" vertical="center"/>
      <protection hidden="1"/>
    </xf>
    <xf numFmtId="0" fontId="20" fillId="12" borderId="75" xfId="0" applyFont="1" applyFill="1" applyBorder="1" applyAlignment="1" applyProtection="1">
      <alignment horizontal="center" vertical="center"/>
      <protection hidden="1"/>
    </xf>
    <xf numFmtId="0" fontId="0" fillId="12" borderId="43" xfId="0" applyFill="1" applyBorder="1" applyAlignment="1" applyProtection="1">
      <alignment horizontal="center" vertical="center"/>
      <protection hidden="1"/>
    </xf>
    <xf numFmtId="0" fontId="0" fillId="12" borderId="64" xfId="0" applyFill="1" applyBorder="1" applyAlignment="1" applyProtection="1">
      <alignment horizontal="center" vertical="center"/>
      <protection hidden="1"/>
    </xf>
    <xf numFmtId="0" fontId="55" fillId="0" borderId="4" xfId="0" applyFont="1" applyFill="1" applyBorder="1" applyAlignment="1" applyProtection="1">
      <alignment horizontal="center" vertical="center"/>
      <protection hidden="1"/>
    </xf>
    <xf numFmtId="0" fontId="55" fillId="0" borderId="5" xfId="0" applyFont="1" applyFill="1" applyBorder="1" applyAlignment="1" applyProtection="1">
      <alignment horizontal="center" vertical="center"/>
      <protection hidden="1"/>
    </xf>
    <xf numFmtId="0" fontId="14" fillId="0" borderId="4" xfId="0" applyFont="1" applyFill="1" applyBorder="1" applyAlignment="1" applyProtection="1">
      <alignment horizontal="center" vertical="center"/>
      <protection hidden="1"/>
    </xf>
    <xf numFmtId="0" fontId="14" fillId="0" borderId="5" xfId="0" applyFont="1" applyFill="1" applyBorder="1" applyAlignment="1" applyProtection="1">
      <alignment horizontal="center" vertical="center"/>
      <protection hidden="1"/>
    </xf>
    <xf numFmtId="0" fontId="14" fillId="0" borderId="6" xfId="0" applyFont="1" applyFill="1" applyBorder="1" applyAlignment="1" applyProtection="1">
      <alignment horizontal="center" vertical="center"/>
      <protection hidden="1"/>
    </xf>
    <xf numFmtId="0" fontId="17" fillId="0" borderId="1" xfId="0" applyFont="1" applyFill="1" applyBorder="1" applyAlignment="1" applyProtection="1">
      <alignment horizontal="center" vertical="center"/>
      <protection hidden="1"/>
    </xf>
    <xf numFmtId="0" fontId="17" fillId="0" borderId="2" xfId="0" applyFont="1" applyFill="1" applyBorder="1" applyAlignment="1" applyProtection="1">
      <alignment horizontal="center" vertical="center"/>
      <protection hidden="1"/>
    </xf>
    <xf numFmtId="0" fontId="16" fillId="12" borderId="23" xfId="0" applyFont="1" applyFill="1" applyBorder="1" applyAlignment="1" applyProtection="1">
      <alignment horizontal="center"/>
      <protection hidden="1"/>
    </xf>
    <xf numFmtId="0" fontId="16" fillId="12" borderId="24" xfId="0" applyFont="1" applyFill="1" applyBorder="1" applyAlignment="1" applyProtection="1">
      <alignment horizontal="center"/>
      <protection hidden="1"/>
    </xf>
    <xf numFmtId="0" fontId="16" fillId="12" borderId="25" xfId="0" applyFont="1" applyFill="1" applyBorder="1" applyAlignment="1" applyProtection="1">
      <alignment horizontal="center"/>
      <protection hidden="1"/>
    </xf>
    <xf numFmtId="0" fontId="51" fillId="0" borderId="51" xfId="0" applyFont="1" applyBorder="1" applyAlignment="1" applyProtection="1">
      <alignment horizontal="left" vertical="center"/>
      <protection hidden="1"/>
    </xf>
    <xf numFmtId="0" fontId="51" fillId="0" borderId="74" xfId="0" applyFont="1" applyBorder="1" applyAlignment="1" applyProtection="1">
      <alignment horizontal="left" vertical="center"/>
      <protection hidden="1"/>
    </xf>
    <xf numFmtId="0" fontId="51" fillId="0" borderId="10" xfId="0" applyFont="1" applyBorder="1" applyAlignment="1" applyProtection="1">
      <alignment horizontal="left" vertical="center"/>
      <protection hidden="1"/>
    </xf>
    <xf numFmtId="0" fontId="39" fillId="0" borderId="29" xfId="0" applyFont="1" applyBorder="1" applyAlignment="1" applyProtection="1">
      <alignment horizontal="center"/>
      <protection hidden="1"/>
    </xf>
    <xf numFmtId="0" fontId="39" fillId="0" borderId="27" xfId="0" applyFont="1" applyBorder="1" applyAlignment="1" applyProtection="1">
      <alignment horizontal="center"/>
      <protection hidden="1"/>
    </xf>
    <xf numFmtId="0" fontId="3" fillId="0" borderId="28" xfId="0" applyFont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center"/>
    </xf>
    <xf numFmtId="0" fontId="0" fillId="0" borderId="8" xfId="0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16" fillId="0" borderId="7" xfId="0" applyFont="1" applyBorder="1" applyAlignment="1" applyProtection="1">
      <alignment horizontal="center" vertical="center"/>
      <protection hidden="1"/>
    </xf>
    <xf numFmtId="0" fontId="16" fillId="0" borderId="8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6" fillId="0" borderId="2" xfId="0" applyFont="1" applyBorder="1" applyAlignment="1" applyProtection="1">
      <alignment horizontal="center" vertical="center"/>
      <protection hidden="1"/>
    </xf>
    <xf numFmtId="0" fontId="56" fillId="0" borderId="1" xfId="0" applyFont="1" applyFill="1" applyBorder="1" applyAlignment="1" applyProtection="1">
      <alignment horizontal="center" vertical="center"/>
      <protection hidden="1"/>
    </xf>
    <xf numFmtId="0" fontId="56" fillId="0" borderId="2" xfId="0" applyFont="1" applyFill="1" applyBorder="1" applyAlignment="1" applyProtection="1">
      <alignment horizontal="center" vertical="center"/>
      <protection hidden="1"/>
    </xf>
    <xf numFmtId="0" fontId="28" fillId="0" borderId="13" xfId="0" applyFont="1" applyFill="1" applyBorder="1" applyAlignment="1" applyProtection="1">
      <alignment horizontal="center" vertical="center"/>
      <protection hidden="1"/>
    </xf>
    <xf numFmtId="0" fontId="28" fillId="0" borderId="11" xfId="0" applyFont="1" applyFill="1" applyBorder="1" applyAlignment="1" applyProtection="1">
      <alignment horizontal="center" vertical="center"/>
      <protection hidden="1"/>
    </xf>
    <xf numFmtId="0" fontId="3" fillId="9" borderId="76" xfId="0" applyFont="1" applyFill="1" applyBorder="1" applyAlignment="1" applyProtection="1">
      <alignment horizontal="center"/>
      <protection locked="0" hidden="1"/>
    </xf>
    <xf numFmtId="0" fontId="3" fillId="9" borderId="77" xfId="0" applyFont="1" applyFill="1" applyBorder="1" applyAlignment="1" applyProtection="1">
      <alignment horizontal="center"/>
      <protection locked="0" hidden="1"/>
    </xf>
    <xf numFmtId="0" fontId="0" fillId="0" borderId="75" xfId="0" applyBorder="1" applyAlignment="1" applyProtection="1">
      <alignment horizontal="center"/>
      <protection hidden="1"/>
    </xf>
    <xf numFmtId="0" fontId="0" fillId="0" borderId="43" xfId="0" applyBorder="1" applyAlignment="1" applyProtection="1">
      <alignment horizontal="center"/>
      <protection hidden="1"/>
    </xf>
    <xf numFmtId="0" fontId="0" fillId="0" borderId="64" xfId="0" applyBorder="1" applyAlignment="1" applyProtection="1">
      <alignment horizontal="center"/>
      <protection hidden="1"/>
    </xf>
    <xf numFmtId="0" fontId="0" fillId="0" borderId="65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66" xfId="0" applyBorder="1" applyAlignment="1" applyProtection="1">
      <alignment horizontal="center"/>
      <protection hidden="1"/>
    </xf>
    <xf numFmtId="0" fontId="0" fillId="0" borderId="60" xfId="0" applyBorder="1" applyAlignment="1" applyProtection="1">
      <alignment horizontal="center"/>
      <protection hidden="1"/>
    </xf>
    <xf numFmtId="0" fontId="0" fillId="0" borderId="58" xfId="0" applyBorder="1" applyAlignment="1" applyProtection="1">
      <alignment horizontal="center"/>
      <protection hidden="1"/>
    </xf>
    <xf numFmtId="0" fontId="0" fillId="0" borderId="59" xfId="0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/>
      <protection hidden="1"/>
    </xf>
    <xf numFmtId="0" fontId="0" fillId="0" borderId="27" xfId="0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17" fillId="0" borderId="13" xfId="0" applyFont="1" applyFill="1" applyBorder="1" applyAlignment="1" applyProtection="1">
      <alignment horizontal="right" vertical="center"/>
      <protection hidden="1"/>
    </xf>
    <xf numFmtId="0" fontId="17" fillId="0" borderId="11" xfId="0" applyFont="1" applyFill="1" applyBorder="1" applyAlignment="1" applyProtection="1">
      <alignment horizontal="right" vertical="center"/>
      <protection hidden="1"/>
    </xf>
    <xf numFmtId="0" fontId="17" fillId="0" borderId="12" xfId="0" applyFont="1" applyFill="1" applyBorder="1" applyAlignment="1" applyProtection="1">
      <alignment horizontal="right" vertic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2" fontId="0" fillId="0" borderId="2" xfId="0" applyNumberFormat="1" applyFill="1" applyBorder="1" applyAlignment="1" applyProtection="1">
      <alignment horizontal="center" vertical="center"/>
      <protection hidden="1"/>
    </xf>
    <xf numFmtId="2" fontId="0" fillId="0" borderId="5" xfId="0" applyNumberForma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6" fillId="12" borderId="7" xfId="0" applyFont="1" applyFill="1" applyBorder="1" applyAlignment="1" applyProtection="1">
      <alignment horizontal="center" vertical="center"/>
      <protection hidden="1"/>
    </xf>
    <xf numFmtId="0" fontId="16" fillId="12" borderId="8" xfId="0" applyFont="1" applyFill="1" applyBorder="1" applyAlignment="1" applyProtection="1">
      <alignment horizontal="center" vertical="center"/>
      <protection hidden="1"/>
    </xf>
    <xf numFmtId="0" fontId="16" fillId="12" borderId="9" xfId="0" applyFont="1" applyFill="1" applyBorder="1" applyAlignment="1" applyProtection="1">
      <alignment horizontal="center" vertical="center"/>
      <protection hidden="1"/>
    </xf>
    <xf numFmtId="0" fontId="14" fillId="0" borderId="1" xfId="0" applyFont="1" applyFill="1" applyBorder="1" applyAlignment="1" applyProtection="1">
      <alignment horizontal="center" vertical="center"/>
      <protection hidden="1"/>
    </xf>
    <xf numFmtId="0" fontId="14" fillId="0" borderId="2" xfId="0" applyFont="1" applyFill="1" applyBorder="1" applyAlignment="1" applyProtection="1">
      <alignment horizontal="center" vertical="center"/>
      <protection hidden="1"/>
    </xf>
    <xf numFmtId="0" fontId="0" fillId="0" borderId="13" xfId="0" applyFill="1" applyBorder="1" applyAlignment="1" applyProtection="1">
      <alignment horizontal="center" vertical="center"/>
      <protection hidden="1"/>
    </xf>
    <xf numFmtId="0" fontId="0" fillId="0" borderId="12" xfId="0" applyFill="1" applyBorder="1" applyAlignment="1" applyProtection="1">
      <alignment horizontal="center" vertical="center"/>
      <protection hidden="1"/>
    </xf>
    <xf numFmtId="0" fontId="0" fillId="0" borderId="44" xfId="0" applyFill="1" applyBorder="1" applyAlignment="1" applyProtection="1">
      <alignment horizontal="center" vertical="center"/>
      <protection hidden="1"/>
    </xf>
    <xf numFmtId="0" fontId="0" fillId="0" borderId="46" xfId="0" applyFill="1" applyBorder="1" applyAlignment="1" applyProtection="1">
      <alignment horizontal="center" vertical="center"/>
      <protection hidden="1"/>
    </xf>
    <xf numFmtId="1" fontId="0" fillId="0" borderId="15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4" fillId="8" borderId="49" xfId="0" applyFont="1" applyFill="1" applyBorder="1" applyAlignment="1">
      <alignment horizontal="center"/>
    </xf>
    <xf numFmtId="0" fontId="34" fillId="8" borderId="50" xfId="0" applyFont="1" applyFill="1" applyBorder="1" applyAlignment="1">
      <alignment horizontal="center"/>
    </xf>
    <xf numFmtId="0" fontId="34" fillId="8" borderId="67" xfId="0" applyFont="1" applyFill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14" fillId="2" borderId="35" xfId="0" applyFont="1" applyFill="1" applyBorder="1" applyAlignment="1">
      <alignment horizontal="center"/>
    </xf>
    <xf numFmtId="0" fontId="14" fillId="2" borderId="38" xfId="0" applyFont="1" applyFill="1" applyBorder="1" applyAlignment="1">
      <alignment horizontal="center"/>
    </xf>
    <xf numFmtId="0" fontId="14" fillId="2" borderId="36" xfId="0" applyFont="1" applyFill="1" applyBorder="1" applyAlignment="1">
      <alignment horizontal="center"/>
    </xf>
    <xf numFmtId="0" fontId="16" fillId="2" borderId="31" xfId="0" applyFont="1" applyFill="1" applyBorder="1" applyAlignment="1">
      <alignment horizontal="center"/>
    </xf>
    <xf numFmtId="0" fontId="16" fillId="2" borderId="33" xfId="0" applyFont="1" applyFill="1" applyBorder="1" applyAlignment="1">
      <alignment horizontal="center"/>
    </xf>
    <xf numFmtId="0" fontId="16" fillId="2" borderId="34" xfId="0" applyFont="1" applyFill="1" applyBorder="1" applyAlignment="1">
      <alignment horizontal="center"/>
    </xf>
    <xf numFmtId="0" fontId="31" fillId="4" borderId="14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70" xfId="0" applyFill="1" applyBorder="1" applyAlignment="1">
      <alignment horizontal="center"/>
    </xf>
    <xf numFmtId="0" fontId="0" fillId="2" borderId="71" xfId="0" applyFill="1" applyBorder="1" applyAlignment="1">
      <alignment horizontal="center"/>
    </xf>
    <xf numFmtId="0" fontId="0" fillId="2" borderId="72" xfId="0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18" fillId="5" borderId="44" xfId="0" applyFont="1" applyFill="1" applyBorder="1" applyAlignment="1">
      <alignment horizontal="center"/>
    </xf>
    <xf numFmtId="0" fontId="18" fillId="5" borderId="45" xfId="0" applyFont="1" applyFill="1" applyBorder="1" applyAlignment="1">
      <alignment horizontal="center"/>
    </xf>
    <xf numFmtId="0" fontId="18" fillId="5" borderId="46" xfId="0" applyFont="1" applyFill="1" applyBorder="1" applyAlignment="1">
      <alignment horizontal="center"/>
    </xf>
    <xf numFmtId="0" fontId="34" fillId="0" borderId="73" xfId="0" applyFont="1" applyBorder="1" applyAlignment="1">
      <alignment horizontal="center" vertical="center"/>
    </xf>
    <xf numFmtId="0" fontId="34" fillId="0" borderId="7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1" fillId="5" borderId="23" xfId="0" applyFont="1" applyFill="1" applyBorder="1" applyAlignment="1">
      <alignment horizontal="center" vertical="center"/>
    </xf>
    <xf numFmtId="0" fontId="31" fillId="5" borderId="24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/>
    </xf>
    <xf numFmtId="0" fontId="14" fillId="2" borderId="45" xfId="0" applyFont="1" applyFill="1" applyBorder="1" applyAlignment="1">
      <alignment horizontal="center"/>
    </xf>
    <xf numFmtId="0" fontId="14" fillId="2" borderId="46" xfId="0" applyFont="1" applyFill="1" applyBorder="1" applyAlignment="1">
      <alignment horizontal="center"/>
    </xf>
    <xf numFmtId="0" fontId="16" fillId="5" borderId="29" xfId="0" applyFont="1" applyFill="1" applyBorder="1" applyAlignment="1">
      <alignment horizontal="center"/>
    </xf>
    <xf numFmtId="0" fontId="16" fillId="5" borderId="27" xfId="0" applyFont="1" applyFill="1" applyBorder="1" applyAlignment="1">
      <alignment horizontal="center"/>
    </xf>
    <xf numFmtId="0" fontId="16" fillId="5" borderId="28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46" fillId="0" borderId="56" xfId="0" applyFont="1" applyBorder="1" applyAlignment="1">
      <alignment horizontal="center" vertical="center"/>
    </xf>
    <xf numFmtId="0" fontId="46" fillId="0" borderId="57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42" fillId="0" borderId="54" xfId="0" applyFont="1" applyBorder="1" applyAlignment="1">
      <alignment horizontal="center" vertical="center"/>
    </xf>
    <xf numFmtId="0" fontId="42" fillId="0" borderId="55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/>
    </xf>
    <xf numFmtId="0" fontId="39" fillId="0" borderId="8" xfId="0" applyFont="1" applyBorder="1" applyAlignment="1">
      <alignment horizontal="center"/>
    </xf>
    <xf numFmtId="0" fontId="12" fillId="3" borderId="68" xfId="0" applyFont="1" applyFill="1" applyBorder="1" applyAlignment="1">
      <alignment horizontal="center" vertical="center"/>
    </xf>
    <xf numFmtId="0" fontId="12" fillId="3" borderId="57" xfId="0" applyFont="1" applyFill="1" applyBorder="1" applyAlignment="1">
      <alignment horizontal="center" vertical="center"/>
    </xf>
    <xf numFmtId="2" fontId="12" fillId="3" borderId="68" xfId="0" applyNumberFormat="1" applyFont="1" applyFill="1" applyBorder="1" applyAlignment="1">
      <alignment horizontal="center" vertical="center"/>
    </xf>
    <xf numFmtId="2" fontId="12" fillId="3" borderId="57" xfId="0" applyNumberFormat="1" applyFont="1" applyFill="1" applyBorder="1" applyAlignment="1">
      <alignment horizontal="center" vertical="center"/>
    </xf>
    <xf numFmtId="0" fontId="12" fillId="3" borderId="69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3" borderId="54" xfId="0" applyFont="1" applyFill="1" applyBorder="1" applyAlignment="1">
      <alignment horizontal="center"/>
    </xf>
    <xf numFmtId="0" fontId="3" fillId="3" borderId="55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35" fillId="7" borderId="13" xfId="0" applyFont="1" applyFill="1" applyBorder="1" applyAlignment="1">
      <alignment horizontal="center"/>
    </xf>
    <xf numFmtId="0" fontId="35" fillId="7" borderId="11" xfId="0" applyFont="1" applyFill="1" applyBorder="1" applyAlignment="1">
      <alignment horizontal="center"/>
    </xf>
    <xf numFmtId="0" fontId="35" fillId="7" borderId="12" xfId="0" applyFont="1" applyFill="1" applyBorder="1" applyAlignment="1">
      <alignment horizontal="center"/>
    </xf>
    <xf numFmtId="0" fontId="35" fillId="7" borderId="1" xfId="0" applyFont="1" applyFill="1" applyBorder="1" applyAlignment="1">
      <alignment horizontal="center"/>
    </xf>
    <xf numFmtId="0" fontId="35" fillId="7" borderId="2" xfId="0" applyFont="1" applyFill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16" fillId="3" borderId="17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8" fillId="4" borderId="44" xfId="0" applyFont="1" applyFill="1" applyBorder="1" applyAlignment="1">
      <alignment horizontal="center"/>
    </xf>
    <xf numFmtId="0" fontId="18" fillId="4" borderId="45" xfId="0" applyFont="1" applyFill="1" applyBorder="1" applyAlignment="1">
      <alignment horizontal="center"/>
    </xf>
    <xf numFmtId="0" fontId="18" fillId="4" borderId="4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5" fillId="3" borderId="40" xfId="0" applyFont="1" applyFill="1" applyBorder="1" applyAlignment="1">
      <alignment horizontal="center"/>
    </xf>
    <xf numFmtId="0" fontId="35" fillId="3" borderId="41" xfId="0" applyFont="1" applyFill="1" applyBorder="1" applyAlignment="1">
      <alignment horizontal="center"/>
    </xf>
    <xf numFmtId="0" fontId="35" fillId="7" borderId="20" xfId="0" applyFont="1" applyFill="1" applyBorder="1" applyAlignment="1">
      <alignment horizontal="center"/>
    </xf>
    <xf numFmtId="0" fontId="35" fillId="7" borderId="21" xfId="0" applyFont="1" applyFill="1" applyBorder="1" applyAlignment="1">
      <alignment horizontal="center"/>
    </xf>
    <xf numFmtId="0" fontId="35" fillId="3" borderId="14" xfId="0" applyFont="1" applyFill="1" applyBorder="1" applyAlignment="1">
      <alignment horizontal="center"/>
    </xf>
    <xf numFmtId="0" fontId="35" fillId="3" borderId="15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39" fillId="0" borderId="73" xfId="0" applyFont="1" applyBorder="1" applyAlignment="1">
      <alignment horizontal="center"/>
    </xf>
    <xf numFmtId="0" fontId="39" fillId="0" borderId="7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10" borderId="29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9" borderId="75" xfId="0" applyFill="1" applyBorder="1" applyAlignment="1">
      <alignment horizontal="center"/>
    </xf>
    <xf numFmtId="0" fontId="0" fillId="9" borderId="43" xfId="0" applyFill="1" applyBorder="1" applyAlignment="1">
      <alignment horizontal="center"/>
    </xf>
    <xf numFmtId="0" fontId="0" fillId="9" borderId="64" xfId="0" applyFill="1" applyBorder="1" applyAlignment="1">
      <alignment horizontal="center"/>
    </xf>
    <xf numFmtId="0" fontId="0" fillId="9" borderId="65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66" xfId="0" applyFill="1" applyBorder="1" applyAlignment="1">
      <alignment horizontal="center"/>
    </xf>
    <xf numFmtId="0" fontId="0" fillId="9" borderId="60" xfId="0" applyFill="1" applyBorder="1" applyAlignment="1">
      <alignment horizontal="center"/>
    </xf>
    <xf numFmtId="0" fontId="0" fillId="9" borderId="58" xfId="0" applyFill="1" applyBorder="1" applyAlignment="1">
      <alignment horizontal="center"/>
    </xf>
    <xf numFmtId="0" fontId="0" fillId="9" borderId="59" xfId="0" applyFill="1" applyBorder="1" applyAlignment="1">
      <alignment horizontal="center"/>
    </xf>
    <xf numFmtId="0" fontId="3" fillId="2" borderId="7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</cellXfs>
  <cellStyles count="1">
    <cellStyle name="Normale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33CC"/>
      <color rgb="FF6666FF"/>
      <color rgb="FFFF00FF"/>
      <color rgb="FF9C0006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11</xdr:row>
      <xdr:rowOff>0</xdr:rowOff>
    </xdr:from>
    <xdr:to>
      <xdr:col>1</xdr:col>
      <xdr:colOff>738188</xdr:colOff>
      <xdr:row>14</xdr:row>
      <xdr:rowOff>166688</xdr:rowOff>
    </xdr:to>
    <xdr:sp macro="" textlink="">
      <xdr:nvSpPr>
        <xdr:cNvPr id="2053" name="AutoShape 5"/>
        <xdr:cNvSpPr>
          <a:spLocks noChangeAspect="1" noChangeArrowheads="1"/>
        </xdr:cNvSpPr>
      </xdr:nvSpPr>
      <xdr:spPr bwMode="auto">
        <a:xfrm>
          <a:off x="312964" y="1942420"/>
          <a:ext cx="738188" cy="7381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sp>
    <xdr:clientData/>
  </xdr:twoCellAnchor>
  <xdr:twoCellAnchor editAs="oneCell">
    <xdr:from>
      <xdr:col>1</xdr:col>
      <xdr:colOff>72258</xdr:colOff>
      <xdr:row>11</xdr:row>
      <xdr:rowOff>71064</xdr:rowOff>
    </xdr:from>
    <xdr:to>
      <xdr:col>7</xdr:col>
      <xdr:colOff>729155</xdr:colOff>
      <xdr:row>25</xdr:row>
      <xdr:rowOff>113354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6437" r="636" b="3837"/>
        <a:stretch>
          <a:fillRect/>
        </a:stretch>
      </xdr:blipFill>
      <xdr:spPr bwMode="auto">
        <a:xfrm>
          <a:off x="387568" y="2022047"/>
          <a:ext cx="5787259" cy="27092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123270</xdr:colOff>
      <xdr:row>26</xdr:row>
      <xdr:rowOff>48526</xdr:rowOff>
    </xdr:from>
    <xdr:to>
      <xdr:col>27</xdr:col>
      <xdr:colOff>67236</xdr:colOff>
      <xdr:row>37</xdr:row>
      <xdr:rowOff>8419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8614" t="12906" r="11457" b="15544"/>
        <a:stretch>
          <a:fillRect/>
        </a:stretch>
      </xdr:blipFill>
      <xdr:spPr bwMode="auto">
        <a:xfrm>
          <a:off x="12965211" y="5001526"/>
          <a:ext cx="4224613" cy="20553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89648</xdr:colOff>
      <xdr:row>75</xdr:row>
      <xdr:rowOff>67236</xdr:rowOff>
    </xdr:from>
    <xdr:to>
      <xdr:col>7</xdr:col>
      <xdr:colOff>717176</xdr:colOff>
      <xdr:row>85</xdr:row>
      <xdr:rowOff>82449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5784" t="26831" r="3027" b="17016"/>
        <a:stretch>
          <a:fillRect/>
        </a:stretch>
      </xdr:blipFill>
      <xdr:spPr bwMode="auto">
        <a:xfrm>
          <a:off x="403413" y="17907001"/>
          <a:ext cx="5737410" cy="19202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112059</xdr:colOff>
      <xdr:row>2</xdr:row>
      <xdr:rowOff>67236</xdr:rowOff>
    </xdr:from>
    <xdr:to>
      <xdr:col>26</xdr:col>
      <xdr:colOff>566900</xdr:colOff>
      <xdr:row>14</xdr:row>
      <xdr:rowOff>72094</xdr:rowOff>
    </xdr:to>
    <xdr:pic>
      <xdr:nvPicPr>
        <xdr:cNvPr id="5" name="Immagine 4"/>
        <xdr:cNvPicPr/>
      </xdr:nvPicPr>
      <xdr:blipFill>
        <a:blip xmlns:r="http://schemas.openxmlformats.org/officeDocument/2006/relationships" r:embed="rId3" cstate="print"/>
        <a:srcRect l="3587" t="25088" r="3638" b="27032"/>
        <a:stretch>
          <a:fillRect/>
        </a:stretch>
      </xdr:blipFill>
      <xdr:spPr bwMode="auto">
        <a:xfrm>
          <a:off x="11049000" y="560295"/>
          <a:ext cx="6035371" cy="2290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114300</xdr:colOff>
          <xdr:row>12</xdr:row>
          <xdr:rowOff>133350</xdr:rowOff>
        </xdr:from>
        <xdr:to>
          <xdr:col>27</xdr:col>
          <xdr:colOff>19050</xdr:colOff>
          <xdr:row>23</xdr:row>
          <xdr:rowOff>76200</xdr:rowOff>
        </xdr:to>
        <xdr:sp macro="" textlink="">
          <xdr:nvSpPr>
            <xdr:cNvPr id="2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>
    <pageSetUpPr fitToPage="1"/>
  </sheetPr>
  <dimension ref="A1:AE80"/>
  <sheetViews>
    <sheetView tabSelected="1" zoomScaleNormal="100" workbookViewId="0">
      <selection activeCell="AI23" sqref="AI23"/>
    </sheetView>
  </sheetViews>
  <sheetFormatPr defaultRowHeight="15" x14ac:dyDescent="0.25"/>
  <cols>
    <col min="1" max="1" width="4.7109375" style="221" customWidth="1"/>
    <col min="2" max="6" width="12.7109375" style="221" customWidth="1"/>
    <col min="7" max="7" width="13.42578125" style="221" customWidth="1"/>
    <col min="8" max="9" width="12.7109375" style="221" customWidth="1"/>
    <col min="10" max="10" width="12.7109375" style="222" hidden="1" customWidth="1"/>
    <col min="11" max="30" width="12.7109375" style="221" hidden="1" customWidth="1"/>
    <col min="31" max="16384" width="9.140625" style="221"/>
  </cols>
  <sheetData>
    <row r="1" spans="2:31" ht="15.75" thickBot="1" x14ac:dyDescent="0.3"/>
    <row r="2" spans="2:31" s="251" customFormat="1" ht="23.25" x14ac:dyDescent="0.35">
      <c r="B2" s="360" t="s">
        <v>294</v>
      </c>
      <c r="C2" s="361"/>
      <c r="D2" s="361"/>
      <c r="E2" s="361"/>
      <c r="F2" s="361"/>
      <c r="G2" s="361"/>
      <c r="H2" s="362"/>
      <c r="J2" s="253"/>
    </row>
    <row r="3" spans="2:31" s="251" customFormat="1" ht="18" customHeight="1" thickBot="1" x14ac:dyDescent="0.3">
      <c r="B3" s="335" t="s">
        <v>103</v>
      </c>
      <c r="C3" s="336"/>
      <c r="D3" s="337" t="s">
        <v>304</v>
      </c>
      <c r="E3" s="337"/>
      <c r="F3" s="337"/>
      <c r="G3" s="337"/>
      <c r="H3" s="338"/>
      <c r="J3" s="253"/>
    </row>
    <row r="4" spans="2:31" s="251" customFormat="1" ht="9.75" customHeight="1" thickBot="1" x14ac:dyDescent="0.3">
      <c r="B4" s="254"/>
      <c r="C4" s="255"/>
      <c r="D4" s="255"/>
      <c r="E4" s="255"/>
      <c r="F4" s="255"/>
      <c r="G4" s="255"/>
      <c r="H4" s="256"/>
      <c r="J4" s="253"/>
    </row>
    <row r="5" spans="2:31" s="251" customFormat="1" ht="18" customHeight="1" thickBot="1" x14ac:dyDescent="0.3">
      <c r="B5" s="257"/>
      <c r="C5" s="357" t="s">
        <v>307</v>
      </c>
      <c r="D5" s="358"/>
      <c r="E5" s="358"/>
      <c r="F5" s="358"/>
      <c r="G5" s="358"/>
      <c r="H5" s="359"/>
      <c r="J5" s="253"/>
      <c r="K5" s="251" t="str">
        <f>IF(C8="ETmini8",IF(E8=140,"OK","ERRORE"),IF(C8="ETmini12",IF(E8=140,"OK","ERRORE"),"ERRORE"))</f>
        <v>ERRORE</v>
      </c>
      <c r="L5" s="251">
        <f>IF(K5="OK",1,0)</f>
        <v>0</v>
      </c>
      <c r="O5" s="331" t="s">
        <v>303</v>
      </c>
      <c r="P5" s="331"/>
      <c r="Q5" s="331"/>
      <c r="R5" s="331"/>
      <c r="S5" s="331"/>
      <c r="T5" s="258"/>
    </row>
    <row r="6" spans="2:31" s="251" customFormat="1" ht="9.9499999999999993" customHeight="1" thickBot="1" x14ac:dyDescent="0.3">
      <c r="B6" s="254"/>
      <c r="C6" s="255"/>
      <c r="D6" s="255"/>
      <c r="E6" s="255"/>
      <c r="F6" s="255"/>
      <c r="G6" s="255"/>
      <c r="H6" s="256"/>
      <c r="J6" s="253"/>
      <c r="O6" s="258" t="s">
        <v>302</v>
      </c>
      <c r="P6" s="258">
        <f>IF(C8="ETmini8",1,IF(C8="ETmini12",1,0))</f>
        <v>0</v>
      </c>
      <c r="Q6" s="258">
        <v>12</v>
      </c>
      <c r="R6" s="258">
        <f>P6*Q6</f>
        <v>0</v>
      </c>
      <c r="T6" s="258"/>
    </row>
    <row r="7" spans="2:31" s="251" customFormat="1" ht="20.100000000000001" customHeight="1" thickBot="1" x14ac:dyDescent="0.3">
      <c r="B7" s="344" t="s">
        <v>298</v>
      </c>
      <c r="C7" s="345"/>
      <c r="D7" s="345"/>
      <c r="E7" s="345"/>
      <c r="F7" s="345"/>
      <c r="G7" s="345"/>
      <c r="H7" s="346"/>
      <c r="J7" s="253"/>
      <c r="K7" s="251" t="str">
        <f>IF(E8&lt;199,IF(C8="ET 10-8","ERRORE",IF(C8="ET 10-12","ERRORE","ok")),IF(E8&gt;281,IF(C8="ET 6-8","ERRORE",IF(C8="ET 8-8","ERRORE",IF(C8="ET 6-12","ERRORE",IF(C8="ET 8-12","ERRORE","OK")))),"ok"))</f>
        <v>ok</v>
      </c>
      <c r="L7" s="251">
        <f t="shared" ref="L7:L8" si="0">IF(K7="OK",1,0)</f>
        <v>1</v>
      </c>
      <c r="O7" s="258">
        <v>55</v>
      </c>
      <c r="P7" s="258">
        <f>IF(C8="ET 6-8",1,IF(C8="ET 6-12",1,IF(C8="ET 8-8",1,IF(C8="ET 8-12",1,0))))</f>
        <v>1</v>
      </c>
      <c r="Q7" s="258">
        <v>16</v>
      </c>
      <c r="R7" s="258">
        <f t="shared" ref="R7:R8" si="1">P7*Q7</f>
        <v>16</v>
      </c>
      <c r="T7" s="258"/>
    </row>
    <row r="8" spans="2:31" s="251" customFormat="1" ht="20.100000000000001" customHeight="1" x14ac:dyDescent="0.25">
      <c r="B8" s="259" t="s">
        <v>283</v>
      </c>
      <c r="C8" s="260" t="s">
        <v>277</v>
      </c>
      <c r="D8" s="261" t="s">
        <v>284</v>
      </c>
      <c r="E8" s="260">
        <v>160</v>
      </c>
      <c r="F8" s="342" t="s">
        <v>292</v>
      </c>
      <c r="G8" s="342"/>
      <c r="H8" s="252" t="str">
        <f>IF(L5=0,IF(K9="ERRORE","ERRORE","OK"),"OK")</f>
        <v>OK</v>
      </c>
      <c r="I8" s="262"/>
      <c r="J8" s="263"/>
      <c r="K8" s="251" t="str">
        <f>IF(E8=140,IF(C8&lt;&gt;"ETmini8",IF(C8&lt;&gt;"ETmini12","ERRORE","OK")),"OK")</f>
        <v>OK</v>
      </c>
      <c r="L8" s="251">
        <f t="shared" si="0"/>
        <v>1</v>
      </c>
      <c r="O8" s="258">
        <v>70</v>
      </c>
      <c r="P8" s="258">
        <f>IF(C8="ET 10-8",1,IF(C8="ET 10-12",1,0))</f>
        <v>0</v>
      </c>
      <c r="Q8" s="258">
        <v>18</v>
      </c>
      <c r="R8" s="258">
        <f t="shared" si="1"/>
        <v>0</v>
      </c>
      <c r="T8" s="258"/>
    </row>
    <row r="9" spans="2:31" s="251" customFormat="1" ht="20.100000000000001" customHeight="1" thickBot="1" x14ac:dyDescent="0.4">
      <c r="B9" s="264" t="s">
        <v>296</v>
      </c>
      <c r="C9" s="265">
        <v>14</v>
      </c>
      <c r="D9" s="266" t="s">
        <v>295</v>
      </c>
      <c r="E9" s="265" t="s">
        <v>287</v>
      </c>
      <c r="F9" s="343" t="s">
        <v>293</v>
      </c>
      <c r="G9" s="343"/>
      <c r="H9" s="267" t="str">
        <f>S9</f>
        <v>OK</v>
      </c>
      <c r="I9" s="268"/>
      <c r="J9" s="269"/>
      <c r="K9" s="251" t="str">
        <f>IF(L9&gt;1.5,IF(C8&lt;&gt;"ETmini8",IF(C8&lt;&gt;"ETmini12","OK","ERRORE"),"ERRORE"),"ERRORE")</f>
        <v>OK</v>
      </c>
      <c r="L9" s="251">
        <f>SUM(L7:L8)</f>
        <v>2</v>
      </c>
      <c r="R9" s="258">
        <f>R6+R7+R8</f>
        <v>16</v>
      </c>
      <c r="S9" s="251" t="str">
        <f>IF(C9&lt;R9+1,"OK","ERRORE")</f>
        <v>OK</v>
      </c>
      <c r="T9" s="258"/>
      <c r="AE9" s="270"/>
    </row>
    <row r="10" spans="2:31" s="251" customFormat="1" ht="9.9499999999999993" customHeight="1" thickBot="1" x14ac:dyDescent="0.3">
      <c r="B10" s="271"/>
      <c r="C10" s="272"/>
      <c r="D10" s="272"/>
      <c r="E10" s="272"/>
      <c r="F10" s="273"/>
      <c r="G10" s="273"/>
      <c r="H10" s="274"/>
      <c r="I10" s="268"/>
      <c r="J10" s="269"/>
    </row>
    <row r="11" spans="2:31" s="251" customFormat="1" ht="19.5" thickBot="1" x14ac:dyDescent="0.35">
      <c r="B11" s="339" t="s">
        <v>299</v>
      </c>
      <c r="C11" s="340"/>
      <c r="D11" s="340"/>
      <c r="E11" s="340"/>
      <c r="F11" s="340"/>
      <c r="G11" s="340"/>
      <c r="H11" s="341"/>
      <c r="J11" s="253"/>
      <c r="M11" s="251" t="s">
        <v>277</v>
      </c>
      <c r="N11" s="251">
        <v>140</v>
      </c>
      <c r="O11" s="251">
        <v>8</v>
      </c>
      <c r="P11" s="251" t="s">
        <v>285</v>
      </c>
    </row>
    <row r="12" spans="2:31" s="251" customFormat="1" x14ac:dyDescent="0.25">
      <c r="B12" s="377"/>
      <c r="C12" s="378"/>
      <c r="D12" s="378"/>
      <c r="E12" s="378"/>
      <c r="F12" s="378"/>
      <c r="G12" s="378"/>
      <c r="H12" s="379"/>
      <c r="J12" s="253"/>
      <c r="M12" s="251" t="s">
        <v>278</v>
      </c>
      <c r="N12" s="251">
        <v>160</v>
      </c>
      <c r="O12" s="251">
        <v>10</v>
      </c>
      <c r="P12" s="251" t="s">
        <v>286</v>
      </c>
    </row>
    <row r="13" spans="2:31" s="251" customFormat="1" x14ac:dyDescent="0.25">
      <c r="B13" s="380"/>
      <c r="C13" s="381"/>
      <c r="D13" s="381"/>
      <c r="E13" s="381"/>
      <c r="F13" s="381"/>
      <c r="G13" s="381"/>
      <c r="H13" s="382"/>
      <c r="J13" s="253"/>
      <c r="M13" s="251" t="s">
        <v>279</v>
      </c>
      <c r="N13" s="251">
        <v>200</v>
      </c>
      <c r="O13" s="251">
        <v>12</v>
      </c>
      <c r="P13" s="251" t="s">
        <v>287</v>
      </c>
    </row>
    <row r="14" spans="2:31" s="251" customFormat="1" x14ac:dyDescent="0.25">
      <c r="B14" s="380"/>
      <c r="C14" s="381"/>
      <c r="D14" s="381"/>
      <c r="E14" s="381"/>
      <c r="F14" s="381"/>
      <c r="G14" s="381"/>
      <c r="H14" s="382"/>
      <c r="J14" s="253"/>
      <c r="M14" s="251" t="s">
        <v>280</v>
      </c>
      <c r="N14" s="251">
        <v>240</v>
      </c>
      <c r="O14" s="251">
        <v>14</v>
      </c>
      <c r="P14" s="251" t="s">
        <v>288</v>
      </c>
    </row>
    <row r="15" spans="2:31" s="251" customFormat="1" x14ac:dyDescent="0.25">
      <c r="B15" s="380"/>
      <c r="C15" s="381"/>
      <c r="D15" s="381"/>
      <c r="E15" s="381"/>
      <c r="F15" s="381"/>
      <c r="G15" s="381"/>
      <c r="H15" s="382"/>
      <c r="J15" s="253"/>
      <c r="M15" s="251" t="s">
        <v>281</v>
      </c>
      <c r="N15" s="251">
        <v>280</v>
      </c>
      <c r="O15" s="251">
        <v>16</v>
      </c>
      <c r="P15" s="251" t="s">
        <v>289</v>
      </c>
    </row>
    <row r="16" spans="2:31" s="251" customFormat="1" x14ac:dyDescent="0.25">
      <c r="B16" s="380"/>
      <c r="C16" s="381"/>
      <c r="D16" s="381"/>
      <c r="E16" s="381"/>
      <c r="F16" s="381"/>
      <c r="G16" s="381"/>
      <c r="H16" s="382"/>
      <c r="J16" s="253"/>
      <c r="M16" s="251" t="s">
        <v>282</v>
      </c>
      <c r="N16" s="251">
        <v>320</v>
      </c>
      <c r="O16" s="251">
        <v>18</v>
      </c>
      <c r="P16" s="251" t="s">
        <v>290</v>
      </c>
    </row>
    <row r="17" spans="2:22" s="251" customFormat="1" x14ac:dyDescent="0.25">
      <c r="B17" s="380"/>
      <c r="C17" s="381"/>
      <c r="D17" s="381"/>
      <c r="E17" s="381"/>
      <c r="F17" s="381"/>
      <c r="G17" s="381"/>
      <c r="H17" s="382"/>
      <c r="J17" s="253"/>
      <c r="M17" s="251" t="s">
        <v>300</v>
      </c>
      <c r="P17" s="251" t="s">
        <v>291</v>
      </c>
    </row>
    <row r="18" spans="2:22" s="251" customFormat="1" x14ac:dyDescent="0.25">
      <c r="B18" s="380"/>
      <c r="C18" s="381"/>
      <c r="D18" s="381"/>
      <c r="E18" s="381"/>
      <c r="F18" s="381"/>
      <c r="G18" s="381"/>
      <c r="H18" s="382"/>
      <c r="J18" s="253"/>
      <c r="M18" s="251" t="s">
        <v>301</v>
      </c>
    </row>
    <row r="19" spans="2:22" s="251" customFormat="1" x14ac:dyDescent="0.25">
      <c r="B19" s="380"/>
      <c r="C19" s="381"/>
      <c r="D19" s="381"/>
      <c r="E19" s="381"/>
      <c r="F19" s="381"/>
      <c r="G19" s="381"/>
      <c r="H19" s="382"/>
      <c r="J19" s="253"/>
    </row>
    <row r="20" spans="2:22" s="251" customFormat="1" x14ac:dyDescent="0.25">
      <c r="B20" s="380"/>
      <c r="C20" s="381"/>
      <c r="D20" s="381"/>
      <c r="E20" s="381"/>
      <c r="F20" s="381"/>
      <c r="G20" s="381"/>
      <c r="H20" s="382"/>
      <c r="J20" s="253"/>
    </row>
    <row r="21" spans="2:22" s="251" customFormat="1" x14ac:dyDescent="0.25">
      <c r="B21" s="380"/>
      <c r="C21" s="381"/>
      <c r="D21" s="381"/>
      <c r="E21" s="381"/>
      <c r="F21" s="381"/>
      <c r="G21" s="381"/>
      <c r="H21" s="382"/>
      <c r="J21" s="253"/>
    </row>
    <row r="22" spans="2:22" s="251" customFormat="1" x14ac:dyDescent="0.25">
      <c r="B22" s="380"/>
      <c r="C22" s="381"/>
      <c r="D22" s="381"/>
      <c r="E22" s="381"/>
      <c r="F22" s="381"/>
      <c r="G22" s="381"/>
      <c r="H22" s="382"/>
      <c r="J22" s="253"/>
    </row>
    <row r="23" spans="2:22" s="251" customFormat="1" x14ac:dyDescent="0.25">
      <c r="B23" s="380"/>
      <c r="C23" s="381"/>
      <c r="D23" s="381"/>
      <c r="E23" s="381"/>
      <c r="F23" s="381"/>
      <c r="G23" s="381"/>
      <c r="H23" s="382"/>
      <c r="J23" s="253"/>
    </row>
    <row r="24" spans="2:22" s="251" customFormat="1" x14ac:dyDescent="0.25">
      <c r="B24" s="380"/>
      <c r="C24" s="381"/>
      <c r="D24" s="381"/>
      <c r="E24" s="381"/>
      <c r="F24" s="381"/>
      <c r="G24" s="381"/>
      <c r="H24" s="382"/>
      <c r="J24" s="253"/>
    </row>
    <row r="25" spans="2:22" s="251" customFormat="1" x14ac:dyDescent="0.25">
      <c r="B25" s="380"/>
      <c r="C25" s="381"/>
      <c r="D25" s="381"/>
      <c r="E25" s="381"/>
      <c r="F25" s="381"/>
      <c r="G25" s="381"/>
      <c r="H25" s="382"/>
      <c r="J25" s="253"/>
    </row>
    <row r="26" spans="2:22" s="251" customFormat="1" ht="15.75" thickBot="1" x14ac:dyDescent="0.3">
      <c r="B26" s="383"/>
      <c r="C26" s="384"/>
      <c r="D26" s="384"/>
      <c r="E26" s="384"/>
      <c r="F26" s="384"/>
      <c r="G26" s="384"/>
      <c r="H26" s="385"/>
      <c r="J26" s="253"/>
    </row>
    <row r="27" spans="2:22" s="251" customFormat="1" ht="18" customHeight="1" x14ac:dyDescent="0.25">
      <c r="B27" s="391" t="s">
        <v>188</v>
      </c>
      <c r="C27" s="392"/>
      <c r="D27" s="392"/>
      <c r="E27" s="393"/>
      <c r="F27" s="276" t="s">
        <v>26</v>
      </c>
      <c r="G27" s="277">
        <v>1.65</v>
      </c>
      <c r="H27" s="278" t="s">
        <v>109</v>
      </c>
      <c r="J27" s="279"/>
      <c r="K27" s="275"/>
      <c r="L27" s="275"/>
      <c r="M27" s="275"/>
      <c r="N27" s="275"/>
      <c r="O27" s="275"/>
    </row>
    <row r="28" spans="2:22" s="251" customFormat="1" ht="18" customHeight="1" thickBot="1" x14ac:dyDescent="0.3">
      <c r="B28" s="397" t="s">
        <v>131</v>
      </c>
      <c r="C28" s="398"/>
      <c r="D28" s="398"/>
      <c r="E28" s="398"/>
      <c r="F28" s="280" t="s">
        <v>297</v>
      </c>
      <c r="G28" s="281">
        <v>160</v>
      </c>
      <c r="H28" s="282" t="s">
        <v>7</v>
      </c>
      <c r="J28" s="279"/>
      <c r="K28" s="275"/>
      <c r="L28" s="275"/>
      <c r="M28" s="275"/>
      <c r="N28" s="275"/>
      <c r="O28" s="275"/>
    </row>
    <row r="29" spans="2:22" s="251" customFormat="1" ht="18" customHeight="1" x14ac:dyDescent="0.25">
      <c r="B29" s="367" t="s">
        <v>114</v>
      </c>
      <c r="C29" s="368"/>
      <c r="D29" s="368"/>
      <c r="E29" s="283" t="s">
        <v>180</v>
      </c>
      <c r="F29" s="364" t="s">
        <v>181</v>
      </c>
      <c r="G29" s="364"/>
      <c r="H29" s="365" t="s">
        <v>113</v>
      </c>
      <c r="J29" s="279"/>
      <c r="K29" s="275"/>
      <c r="L29" s="387" t="s">
        <v>114</v>
      </c>
      <c r="M29" s="387"/>
      <c r="N29" s="387"/>
      <c r="O29" s="284" t="s">
        <v>107</v>
      </c>
      <c r="P29" s="331" t="s">
        <v>108</v>
      </c>
      <c r="Q29" s="331"/>
      <c r="R29" s="386" t="s">
        <v>113</v>
      </c>
      <c r="S29" s="285" t="s">
        <v>124</v>
      </c>
      <c r="T29" s="285" t="s">
        <v>125</v>
      </c>
      <c r="U29" s="285" t="s">
        <v>126</v>
      </c>
      <c r="V29" s="285" t="s">
        <v>127</v>
      </c>
    </row>
    <row r="30" spans="2:22" s="251" customFormat="1" ht="18" customHeight="1" x14ac:dyDescent="0.35">
      <c r="B30" s="369"/>
      <c r="C30" s="370"/>
      <c r="D30" s="370"/>
      <c r="E30" s="286" t="s">
        <v>112</v>
      </c>
      <c r="F30" s="286" t="s">
        <v>120</v>
      </c>
      <c r="G30" s="287" t="s">
        <v>123</v>
      </c>
      <c r="H30" s="366"/>
      <c r="J30" s="279"/>
      <c r="K30" s="275"/>
      <c r="L30" s="387"/>
      <c r="M30" s="387"/>
      <c r="N30" s="387"/>
      <c r="O30" s="258" t="s">
        <v>121</v>
      </c>
      <c r="P30" s="258" t="s">
        <v>122</v>
      </c>
      <c r="Q30" s="258" t="s">
        <v>123</v>
      </c>
      <c r="R30" s="387"/>
      <c r="S30" s="285"/>
      <c r="T30" s="285"/>
      <c r="U30" s="285"/>
      <c r="V30" s="285"/>
    </row>
    <row r="31" spans="2:22" s="251" customFormat="1" ht="18" customHeight="1" x14ac:dyDescent="0.25">
      <c r="B31" s="371" t="s">
        <v>104</v>
      </c>
      <c r="C31" s="372"/>
      <c r="D31" s="372"/>
      <c r="E31" s="288">
        <f>0.16*25</f>
        <v>4</v>
      </c>
      <c r="F31" s="288">
        <v>0</v>
      </c>
      <c r="G31" s="399">
        <f>G27</f>
        <v>1.65</v>
      </c>
      <c r="H31" s="289">
        <v>1.3</v>
      </c>
      <c r="J31" s="279"/>
      <c r="K31" s="275"/>
      <c r="L31" s="388" t="s">
        <v>104</v>
      </c>
      <c r="M31" s="388"/>
      <c r="N31" s="388"/>
      <c r="O31" s="290">
        <f>E31*'Dati e Calcolo ESSE THERM'!$G$32/1000</f>
        <v>4</v>
      </c>
      <c r="P31" s="290">
        <f>F31*'Dati e Calcolo ESSE THERM'!$G$32/1000</f>
        <v>0</v>
      </c>
      <c r="Q31" s="291">
        <f>G31</f>
        <v>1.65</v>
      </c>
      <c r="R31" s="263">
        <f>H31</f>
        <v>1.3</v>
      </c>
      <c r="S31" s="292">
        <f>O31*G27^2/2+F31*Q31</f>
        <v>5.4449999999999994</v>
      </c>
      <c r="T31" s="292">
        <f>S31*R31</f>
        <v>7.0784999999999991</v>
      </c>
      <c r="U31" s="292">
        <f>O31*G27+P31</f>
        <v>6.6</v>
      </c>
      <c r="V31" s="292">
        <f>U31*R31</f>
        <v>8.58</v>
      </c>
    </row>
    <row r="32" spans="2:22" s="251" customFormat="1" ht="18" customHeight="1" x14ac:dyDescent="0.25">
      <c r="B32" s="371" t="s">
        <v>105</v>
      </c>
      <c r="C32" s="372"/>
      <c r="D32" s="372"/>
      <c r="E32" s="288">
        <v>2</v>
      </c>
      <c r="F32" s="288">
        <v>0.5</v>
      </c>
      <c r="G32" s="399"/>
      <c r="H32" s="289">
        <v>1.5</v>
      </c>
      <c r="J32" s="279"/>
      <c r="K32" s="275"/>
      <c r="L32" s="388" t="s">
        <v>105</v>
      </c>
      <c r="M32" s="388"/>
      <c r="N32" s="388"/>
      <c r="O32" s="290">
        <f>E32*'Dati e Calcolo ESSE THERM'!$G$32/1000</f>
        <v>2</v>
      </c>
      <c r="P32" s="290">
        <f>F32*'Dati e Calcolo ESSE THERM'!$G$32/1000</f>
        <v>0.5</v>
      </c>
      <c r="Q32" s="291">
        <f>G31</f>
        <v>1.65</v>
      </c>
      <c r="R32" s="263">
        <f t="shared" ref="R32:R33" si="2">H32</f>
        <v>1.5</v>
      </c>
      <c r="S32" s="292">
        <f>O32*G27^2/2+F32*G31</f>
        <v>3.5474999999999994</v>
      </c>
      <c r="T32" s="292">
        <f t="shared" ref="T32:T33" si="3">S32*R32</f>
        <v>5.3212499999999991</v>
      </c>
      <c r="U32" s="292">
        <f>O32*G27+P32</f>
        <v>3.8</v>
      </c>
      <c r="V32" s="292">
        <f t="shared" ref="V32:V33" si="4">U32*R32</f>
        <v>5.6999999999999993</v>
      </c>
    </row>
    <row r="33" spans="2:26" s="251" customFormat="1" ht="18" customHeight="1" thickBot="1" x14ac:dyDescent="0.3">
      <c r="B33" s="347" t="s">
        <v>106</v>
      </c>
      <c r="C33" s="348"/>
      <c r="D33" s="348"/>
      <c r="E33" s="293">
        <v>4</v>
      </c>
      <c r="F33" s="293">
        <v>0</v>
      </c>
      <c r="G33" s="400"/>
      <c r="H33" s="294">
        <v>1.5</v>
      </c>
      <c r="J33" s="279"/>
      <c r="K33" s="275"/>
      <c r="L33" s="388" t="s">
        <v>106</v>
      </c>
      <c r="M33" s="388"/>
      <c r="N33" s="388"/>
      <c r="O33" s="290">
        <f>E33*'Dati e Calcolo ESSE THERM'!$G$32/1000</f>
        <v>4</v>
      </c>
      <c r="P33" s="290">
        <f>F33*'Dati e Calcolo ESSE THERM'!$G$32/1000</f>
        <v>0</v>
      </c>
      <c r="Q33" s="291">
        <f>G31</f>
        <v>1.65</v>
      </c>
      <c r="R33" s="263">
        <f t="shared" si="2"/>
        <v>1.5</v>
      </c>
      <c r="S33" s="292">
        <f>O33*G27^2/2+F33*G31</f>
        <v>5.4449999999999994</v>
      </c>
      <c r="T33" s="292">
        <f t="shared" si="3"/>
        <v>8.1674999999999986</v>
      </c>
      <c r="U33" s="292">
        <f>O33*G27+P33</f>
        <v>6.6</v>
      </c>
      <c r="V33" s="292">
        <f t="shared" si="4"/>
        <v>9.8999999999999986</v>
      </c>
    </row>
    <row r="34" spans="2:26" s="251" customFormat="1" ht="18" customHeight="1" thickBot="1" x14ac:dyDescent="0.3">
      <c r="B34" s="373" t="s">
        <v>305</v>
      </c>
      <c r="C34" s="374"/>
      <c r="D34" s="374"/>
      <c r="E34" s="374"/>
      <c r="F34" s="374"/>
      <c r="G34" s="375" t="s">
        <v>308</v>
      </c>
      <c r="H34" s="376"/>
      <c r="J34" s="279" t="s">
        <v>306</v>
      </c>
      <c r="K34" s="275"/>
      <c r="L34" s="263"/>
      <c r="M34" s="263"/>
      <c r="N34" s="263"/>
      <c r="O34" s="295">
        <f>SUM(O31:O33)</f>
        <v>10</v>
      </c>
      <c r="P34" s="292">
        <f>SUM(P31:P33)</f>
        <v>0.5</v>
      </c>
      <c r="S34" s="296">
        <f>SUM(S31:S33)</f>
        <v>14.4375</v>
      </c>
      <c r="T34" s="296">
        <f>SUM(T31:T33)</f>
        <v>20.567249999999994</v>
      </c>
      <c r="U34" s="296">
        <f>SUM(U31:U33)</f>
        <v>17</v>
      </c>
      <c r="V34" s="296">
        <f>SUM(V31:V33)</f>
        <v>24.18</v>
      </c>
    </row>
    <row r="35" spans="2:26" s="251" customFormat="1" ht="18" customHeight="1" x14ac:dyDescent="0.25">
      <c r="B35" s="402" t="s">
        <v>160</v>
      </c>
      <c r="C35" s="403"/>
      <c r="D35" s="403"/>
      <c r="E35" s="403"/>
      <c r="F35" s="403"/>
      <c r="G35" s="403"/>
      <c r="H35" s="404"/>
      <c r="J35" s="279"/>
      <c r="K35" s="275"/>
      <c r="L35" s="275"/>
      <c r="M35" s="275"/>
      <c r="N35" s="297"/>
    </row>
    <row r="36" spans="2:26" s="251" customFormat="1" ht="18" customHeight="1" x14ac:dyDescent="0.25">
      <c r="B36" s="407" t="s">
        <v>128</v>
      </c>
      <c r="C36" s="408"/>
      <c r="D36" s="298" t="s">
        <v>125</v>
      </c>
      <c r="E36" s="299">
        <f>IF(G34="SI",T34*1.5,T34)</f>
        <v>30.850874999999991</v>
      </c>
      <c r="F36" s="300" t="str">
        <f>IF(H36&gt;E36,"&lt;","&gt;")</f>
        <v>&gt;</v>
      </c>
      <c r="G36" s="298" t="s">
        <v>196</v>
      </c>
      <c r="H36" s="301">
        <f>'Dati e Calcolo ESSE THERM'!G69</f>
        <v>23.793466621394522</v>
      </c>
      <c r="J36" s="279" t="s">
        <v>306</v>
      </c>
      <c r="K36" s="275"/>
      <c r="L36" s="275"/>
      <c r="M36" s="275"/>
      <c r="N36" s="297"/>
      <c r="O36" s="275"/>
    </row>
    <row r="37" spans="2:26" s="251" customFormat="1" ht="18" customHeight="1" thickBot="1" x14ac:dyDescent="0.3">
      <c r="B37" s="409" t="s">
        <v>129</v>
      </c>
      <c r="C37" s="410"/>
      <c r="D37" s="302" t="s">
        <v>127</v>
      </c>
      <c r="E37" s="303">
        <f>IF(G34="SI",2*V34,V34)</f>
        <v>48.36</v>
      </c>
      <c r="F37" s="304" t="str">
        <f>IF(H37&gt;E37,"&lt;","&gt;")</f>
        <v>&gt;</v>
      </c>
      <c r="G37" s="305" t="s">
        <v>197</v>
      </c>
      <c r="H37" s="306">
        <f>'Dati e Calcolo ESSE THERM'!G70</f>
        <v>33.92115481951928</v>
      </c>
      <c r="J37" s="279" t="s">
        <v>306</v>
      </c>
      <c r="K37" s="275"/>
      <c r="M37" s="275"/>
      <c r="N37" s="297"/>
      <c r="O37" s="275"/>
      <c r="S37" s="307"/>
      <c r="U37" s="307"/>
    </row>
    <row r="38" spans="2:26" s="251" customFormat="1" ht="18" customHeight="1" x14ac:dyDescent="0.25">
      <c r="B38" s="402" t="s">
        <v>161</v>
      </c>
      <c r="C38" s="403"/>
      <c r="D38" s="403"/>
      <c r="E38" s="403"/>
      <c r="F38" s="403"/>
      <c r="G38" s="403"/>
      <c r="H38" s="404"/>
      <c r="J38" s="279"/>
      <c r="K38" s="275"/>
      <c r="M38" s="275"/>
      <c r="N38" s="297"/>
      <c r="O38" s="275"/>
      <c r="S38" s="307"/>
      <c r="U38" s="307"/>
    </row>
    <row r="39" spans="2:26" s="251" customFormat="1" ht="18" customHeight="1" x14ac:dyDescent="0.35">
      <c r="B39" s="308" t="s">
        <v>124</v>
      </c>
      <c r="C39" s="309">
        <f>IF(G34="SI",1.5*S34,S34)</f>
        <v>21.65625</v>
      </c>
      <c r="D39" s="310" t="s">
        <v>158</v>
      </c>
      <c r="E39" s="311">
        <f>C39*1000000/'Dati e Calcolo ESSE THERM'!G29/(('Dati e Calcolo ESSE THERM'!G24/2)^2*PI()*'Dati e Calcolo ESSE THERM'!G34)</f>
        <v>356.15595312155602</v>
      </c>
      <c r="F39" s="300" t="str">
        <f t="shared" ref="F39:F40" si="5">IF(H39&gt;E39,"&lt;","&gt;")</f>
        <v>&lt;</v>
      </c>
      <c r="G39" s="312" t="s">
        <v>159</v>
      </c>
      <c r="H39" s="313">
        <f>'Dati e Calcolo ESSE THERM'!C13*0.8</f>
        <v>360</v>
      </c>
      <c r="J39" s="279" t="s">
        <v>306</v>
      </c>
      <c r="K39" s="275"/>
      <c r="L39" s="390" t="s">
        <v>139</v>
      </c>
      <c r="M39" s="390"/>
      <c r="N39" s="390"/>
      <c r="O39" s="390"/>
      <c r="P39" s="269" t="s">
        <v>141</v>
      </c>
      <c r="Q39" s="269">
        <f>G27*1000*G28^3/12</f>
        <v>563200000</v>
      </c>
      <c r="R39" s="269" t="s">
        <v>142</v>
      </c>
      <c r="S39" s="284" t="s">
        <v>147</v>
      </c>
      <c r="T39" s="251">
        <f>W39*Q39/1000000/G28*2</f>
        <v>23.369379477185841</v>
      </c>
      <c r="U39" s="269" t="s">
        <v>31</v>
      </c>
      <c r="V39" s="251" t="s">
        <v>148</v>
      </c>
      <c r="W39" s="251">
        <f>'Dati e Calcolo ESSE THERM'!O7</f>
        <v>3.3195141302820801</v>
      </c>
    </row>
    <row r="40" spans="2:26" s="251" customFormat="1" ht="18" customHeight="1" thickBot="1" x14ac:dyDescent="0.3">
      <c r="B40" s="314" t="s">
        <v>126</v>
      </c>
      <c r="C40" s="303">
        <f>IF(G34="SI",2*U34,U34)</f>
        <v>34</v>
      </c>
      <c r="D40" s="315" t="s">
        <v>162</v>
      </c>
      <c r="E40" s="316">
        <f>C40*1000/SIN(RADIANS('Dati e Calcolo ESSE THERM'!G22))/('Dati e Calcolo ESSE THERM'!G20/2)^2/PI()/'Dati e Calcolo ESSE THERM'!G34</f>
        <v>392.21388236556209</v>
      </c>
      <c r="F40" s="304" t="str">
        <f t="shared" si="5"/>
        <v>&gt;</v>
      </c>
      <c r="G40" s="317" t="s">
        <v>159</v>
      </c>
      <c r="H40" s="318">
        <f>'Dati e Calcolo ESSE THERM'!C11*0.8</f>
        <v>360</v>
      </c>
      <c r="J40" s="279" t="s">
        <v>306</v>
      </c>
      <c r="K40" s="275"/>
      <c r="L40" s="389" t="s">
        <v>140</v>
      </c>
      <c r="M40" s="389"/>
      <c r="N40" s="389"/>
      <c r="O40" s="389"/>
      <c r="P40" s="319" t="s">
        <v>132</v>
      </c>
      <c r="Q40" s="284">
        <f>(T40*T42)^2+4*T41*T42*T40*T43</f>
        <v>5813608852.8951674</v>
      </c>
      <c r="R40" s="284"/>
      <c r="S40" s="284" t="s">
        <v>133</v>
      </c>
      <c r="T40" s="284">
        <f>('Dati e Calcolo ESSE THERM'!G24/2)^2*PI()*'Dati e Calcolo ESSE THERM'!G34</f>
        <v>769.69020012949932</v>
      </c>
      <c r="U40" s="284" t="s">
        <v>7</v>
      </c>
    </row>
    <row r="41" spans="2:26" s="251" customFormat="1" ht="18" customHeight="1" x14ac:dyDescent="0.3">
      <c r="B41" s="354" t="s">
        <v>130</v>
      </c>
      <c r="C41" s="355"/>
      <c r="D41" s="355"/>
      <c r="E41" s="355"/>
      <c r="F41" s="355"/>
      <c r="G41" s="355"/>
      <c r="H41" s="356"/>
      <c r="J41" s="253"/>
      <c r="L41" s="389"/>
      <c r="M41" s="389"/>
      <c r="N41" s="389"/>
      <c r="O41" s="389"/>
      <c r="P41" s="263" t="s">
        <v>137</v>
      </c>
      <c r="Q41" s="263">
        <f>(-T42*T40+(Q40)^0.5)/T41</f>
        <v>64.701672204915042</v>
      </c>
      <c r="R41" s="284"/>
      <c r="S41" s="263" t="s">
        <v>134</v>
      </c>
      <c r="T41" s="284">
        <f>'Dati e Calcolo ESSE THERM'!G32</f>
        <v>1000</v>
      </c>
      <c r="U41" s="284" t="s">
        <v>7</v>
      </c>
    </row>
    <row r="42" spans="2:26" s="251" customFormat="1" ht="18" customHeight="1" x14ac:dyDescent="0.25">
      <c r="B42" s="352" t="s">
        <v>163</v>
      </c>
      <c r="C42" s="353"/>
      <c r="D42" s="353"/>
      <c r="E42" s="353"/>
      <c r="F42" s="320" t="s">
        <v>190</v>
      </c>
      <c r="G42" s="321">
        <f>Y44</f>
        <v>1.4819751764301428</v>
      </c>
      <c r="H42" s="322" t="s">
        <v>7</v>
      </c>
      <c r="J42" s="253"/>
      <c r="L42" s="389"/>
      <c r="M42" s="389"/>
      <c r="N42" s="389"/>
      <c r="O42" s="389"/>
      <c r="P42" s="323" t="s">
        <v>138</v>
      </c>
      <c r="Q42" s="323">
        <f>(-T42*T40-(Q40)^0.5)/T41</f>
        <v>-87.792378208800031</v>
      </c>
      <c r="R42" s="284"/>
      <c r="S42" s="263" t="s">
        <v>135</v>
      </c>
      <c r="T42" s="284">
        <v>15</v>
      </c>
      <c r="U42" s="284"/>
    </row>
    <row r="43" spans="2:26" s="284" customFormat="1" ht="18" customHeight="1" x14ac:dyDescent="0.25">
      <c r="B43" s="352" t="s">
        <v>226</v>
      </c>
      <c r="C43" s="353"/>
      <c r="D43" s="353"/>
      <c r="E43" s="353"/>
      <c r="F43" s="320" t="s">
        <v>191</v>
      </c>
      <c r="G43" s="321">
        <f>Y45</f>
        <v>0.11975556981253679</v>
      </c>
      <c r="H43" s="322" t="s">
        <v>7</v>
      </c>
      <c r="J43" s="324"/>
      <c r="L43" s="389"/>
      <c r="M43" s="389"/>
      <c r="N43" s="389"/>
      <c r="O43" s="389"/>
      <c r="P43" s="269" t="s">
        <v>143</v>
      </c>
      <c r="Q43" s="269">
        <f>1/3*T41*Q41^3+T42*(T40*(T43-Q41)^2)</f>
        <v>129526141.64245811</v>
      </c>
      <c r="R43" s="269" t="s">
        <v>142</v>
      </c>
      <c r="S43" s="263" t="s">
        <v>136</v>
      </c>
      <c r="T43" s="284">
        <f>'Dati e Calcolo ESSE THERM'!G15-'Dati e Calcolo ESSE THERM'!G18-'Dati e Calcolo ESSE THERM'!G24/2</f>
        <v>123</v>
      </c>
      <c r="U43" s="284" t="s">
        <v>7</v>
      </c>
    </row>
    <row r="44" spans="2:26" s="284" customFormat="1" ht="18" customHeight="1" x14ac:dyDescent="0.25">
      <c r="B44" s="352" t="s">
        <v>164</v>
      </c>
      <c r="C44" s="353"/>
      <c r="D44" s="353"/>
      <c r="E44" s="353"/>
      <c r="F44" s="320" t="s">
        <v>192</v>
      </c>
      <c r="G44" s="321">
        <f>Q46</f>
        <v>9.1132049137880602E-2</v>
      </c>
      <c r="H44" s="322" t="s">
        <v>7</v>
      </c>
      <c r="J44" s="324"/>
      <c r="L44" s="388" t="s">
        <v>144</v>
      </c>
      <c r="M44" s="388"/>
      <c r="N44" s="388"/>
      <c r="O44" s="388"/>
      <c r="P44" s="284" t="s">
        <v>145</v>
      </c>
      <c r="Q44" s="284">
        <f>O34*(G27*1000)^4/8/'Dati e Calcolo ESSE THERM'!G7/'ESSE THERM in opera'!Q39</f>
        <v>0.50917809591146546</v>
      </c>
      <c r="R44" s="284" t="s">
        <v>7</v>
      </c>
      <c r="S44" s="263" t="s">
        <v>146</v>
      </c>
      <c r="T44" s="284">
        <f>O34*(G27*1000)^4/8/'Dati e Calcolo ESSE THERM'!G7/'ESSE THERM in opera'!Q43</f>
        <v>2.2139863040847012</v>
      </c>
      <c r="U44" s="284" t="s">
        <v>7</v>
      </c>
      <c r="V44" s="319" t="s">
        <v>149</v>
      </c>
      <c r="W44" s="284">
        <f>1-0.5*(C39/T39)^2</f>
        <v>0.5706196602379483</v>
      </c>
      <c r="X44" s="284" t="s">
        <v>150</v>
      </c>
      <c r="Y44" s="284">
        <f>W44*T44+(1-W44)*Q44</f>
        <v>1.4819751764301428</v>
      </c>
      <c r="Z44" s="284" t="s">
        <v>7</v>
      </c>
    </row>
    <row r="45" spans="2:26" s="284" customFormat="1" ht="18" customHeight="1" x14ac:dyDescent="0.25">
      <c r="B45" s="352" t="s">
        <v>165</v>
      </c>
      <c r="C45" s="353"/>
      <c r="D45" s="353"/>
      <c r="E45" s="353"/>
      <c r="F45" s="320" t="s">
        <v>193</v>
      </c>
      <c r="G45" s="321">
        <f>Q47</f>
        <v>9.9323318541280372</v>
      </c>
      <c r="H45" s="322" t="s">
        <v>7</v>
      </c>
      <c r="J45" s="324"/>
      <c r="L45" s="388" t="s">
        <v>151</v>
      </c>
      <c r="M45" s="388"/>
      <c r="N45" s="388"/>
      <c r="O45" s="388"/>
      <c r="P45" s="291" t="s">
        <v>152</v>
      </c>
      <c r="Q45" s="263">
        <f>1/3*P34*1000*(G27*1000)^3/'Dati e Calcolo ESSE THERM'!G7/'ESSE THERM in opera'!Q39</f>
        <v>4.1145704720118421E-2</v>
      </c>
      <c r="R45" s="263" t="s">
        <v>7</v>
      </c>
      <c r="S45" s="263" t="s">
        <v>153</v>
      </c>
      <c r="T45" s="263">
        <f>1/3*P34*1000*(G27*1000)^3/'Dati e Calcolo ESSE THERM'!G7/'ESSE THERM in opera'!Q43</f>
        <v>0.17890798416846071</v>
      </c>
      <c r="U45" s="284" t="s">
        <v>7</v>
      </c>
      <c r="V45" s="319" t="s">
        <v>149</v>
      </c>
      <c r="W45" s="284">
        <f>1-0.5*(C39/T39)^2</f>
        <v>0.5706196602379483</v>
      </c>
      <c r="X45" s="284" t="s">
        <v>150</v>
      </c>
      <c r="Y45" s="284">
        <f>W45*T45+(1-W45)*Q45</f>
        <v>0.11975556981253679</v>
      </c>
      <c r="Z45" s="284" t="s">
        <v>7</v>
      </c>
    </row>
    <row r="46" spans="2:26" s="284" customFormat="1" ht="18" customHeight="1" x14ac:dyDescent="0.25">
      <c r="B46" s="405" t="s">
        <v>166</v>
      </c>
      <c r="C46" s="406"/>
      <c r="D46" s="406"/>
      <c r="E46" s="406"/>
      <c r="F46" s="325" t="s">
        <v>156</v>
      </c>
      <c r="G46" s="326">
        <f>IF(G34="SI",1.41*SUM(G42:G45),SUM(G42:G45))</f>
        <v>16.391524455807119</v>
      </c>
      <c r="H46" s="327" t="s">
        <v>7</v>
      </c>
      <c r="J46" s="279" t="s">
        <v>306</v>
      </c>
      <c r="L46" s="388" t="s">
        <v>154</v>
      </c>
      <c r="M46" s="388"/>
      <c r="N46" s="388"/>
      <c r="O46" s="388"/>
      <c r="Q46" s="284">
        <f>U34*'Dati e Calcolo ESSE THERM'!G71</f>
        <v>9.1132049137880602E-2</v>
      </c>
      <c r="S46" s="263"/>
      <c r="T46" s="263"/>
    </row>
    <row r="47" spans="2:26" s="284" customFormat="1" ht="18" customHeight="1" x14ac:dyDescent="0.25">
      <c r="B47" s="394" t="s">
        <v>224</v>
      </c>
      <c r="C47" s="395"/>
      <c r="D47" s="396"/>
      <c r="E47" s="328">
        <v>250</v>
      </c>
      <c r="F47" s="325" t="s">
        <v>157</v>
      </c>
      <c r="G47" s="321">
        <f>IF(G34="SI",1.41*G27*1000/E47*2,G27*1000/E47*2)</f>
        <v>18.611999999999998</v>
      </c>
      <c r="H47" s="322" t="s">
        <v>7</v>
      </c>
      <c r="J47" s="279" t="s">
        <v>306</v>
      </c>
      <c r="L47" s="401" t="s">
        <v>155</v>
      </c>
      <c r="M47" s="401"/>
      <c r="N47" s="401"/>
      <c r="O47" s="401"/>
      <c r="P47" s="291"/>
      <c r="Q47" s="329">
        <f>TAN(RADIANS(C39*'Dati e Calcolo ESSE THERM'!G72))*G27*1000</f>
        <v>9.9323318541280372</v>
      </c>
      <c r="R47" s="263"/>
      <c r="S47" s="263"/>
      <c r="T47" s="263"/>
    </row>
    <row r="48" spans="2:26" s="284" customFormat="1" ht="18" customHeight="1" thickBot="1" x14ac:dyDescent="0.3">
      <c r="B48" s="349" t="str">
        <f>IF(G47&gt;G46,"DEFORMAZIONE LIMITE VERIFICATA","ATT.NE! DEFORMAZIONE NON VERIFICATA!")</f>
        <v>DEFORMAZIONE LIMITE VERIFICATA</v>
      </c>
      <c r="C48" s="350"/>
      <c r="D48" s="350"/>
      <c r="E48" s="350"/>
      <c r="F48" s="350"/>
      <c r="G48" s="350"/>
      <c r="H48" s="351"/>
      <c r="J48" s="324"/>
      <c r="L48" s="329"/>
      <c r="M48" s="291"/>
      <c r="N48" s="330"/>
      <c r="O48" s="330"/>
      <c r="P48" s="330"/>
      <c r="Q48" s="330"/>
      <c r="R48" s="263"/>
      <c r="S48" s="263"/>
      <c r="T48" s="263"/>
    </row>
    <row r="49" spans="1:20" ht="15" customHeight="1" x14ac:dyDescent="0.25">
      <c r="A49" s="224"/>
      <c r="B49" s="227"/>
      <c r="C49" s="227"/>
      <c r="D49" s="227"/>
      <c r="E49" s="227"/>
      <c r="F49" s="223"/>
      <c r="G49" s="225"/>
      <c r="H49" s="223"/>
      <c r="I49" s="224"/>
      <c r="J49" s="224"/>
      <c r="K49" s="224"/>
      <c r="L49" s="228"/>
      <c r="M49" s="228"/>
      <c r="N49" s="228"/>
      <c r="O49" s="228"/>
      <c r="P49" s="229"/>
      <c r="Q49" s="224"/>
      <c r="R49" s="224"/>
      <c r="S49" s="224"/>
      <c r="T49" s="224"/>
    </row>
    <row r="50" spans="1:20" ht="15" customHeight="1" x14ac:dyDescent="0.25">
      <c r="A50" s="224"/>
      <c r="B50" s="227"/>
      <c r="C50" s="227"/>
      <c r="D50" s="227"/>
      <c r="E50" s="227"/>
      <c r="F50" s="223"/>
      <c r="G50" s="225"/>
      <c r="H50" s="223"/>
      <c r="I50" s="224"/>
      <c r="J50" s="224"/>
      <c r="K50" s="224"/>
      <c r="L50" s="228"/>
      <c r="M50" s="228"/>
      <c r="N50" s="228"/>
      <c r="O50" s="228"/>
      <c r="P50" s="229"/>
      <c r="Q50" s="224"/>
      <c r="R50" s="224"/>
      <c r="S50" s="224"/>
      <c r="T50" s="224"/>
    </row>
    <row r="51" spans="1:20" ht="15" hidden="1" customHeight="1" x14ac:dyDescent="0.25">
      <c r="A51" s="224"/>
      <c r="B51" s="221" t="s">
        <v>185</v>
      </c>
      <c r="C51" s="363" t="s">
        <v>184</v>
      </c>
      <c r="D51" s="363"/>
      <c r="E51" s="227"/>
      <c r="F51" s="334" t="s">
        <v>187</v>
      </c>
      <c r="G51" s="334"/>
      <c r="H51" s="334"/>
      <c r="I51" s="224"/>
      <c r="J51" s="224"/>
      <c r="K51" s="224"/>
      <c r="L51" s="230"/>
      <c r="M51" s="230"/>
      <c r="N51" s="230"/>
      <c r="O51" s="230"/>
      <c r="P51" s="224"/>
      <c r="Q51" s="224"/>
      <c r="R51" s="224"/>
      <c r="S51" s="224"/>
      <c r="T51" s="224"/>
    </row>
    <row r="52" spans="1:20" ht="15" hidden="1" customHeight="1" x14ac:dyDescent="0.25">
      <c r="A52" s="224"/>
      <c r="B52" s="221" t="s">
        <v>186</v>
      </c>
      <c r="C52" s="332">
        <f ca="1">TODAY()</f>
        <v>42142</v>
      </c>
      <c r="D52" s="332"/>
      <c r="E52" s="227"/>
      <c r="F52" s="333" t="s">
        <v>228</v>
      </c>
      <c r="G52" s="333"/>
      <c r="H52" s="333"/>
      <c r="I52" s="224"/>
      <c r="J52" s="224"/>
      <c r="K52" s="224"/>
      <c r="L52" s="230"/>
      <c r="M52" s="230"/>
      <c r="N52" s="230"/>
      <c r="O52" s="230"/>
      <c r="P52" s="224"/>
      <c r="Q52" s="224"/>
      <c r="R52" s="224"/>
      <c r="S52" s="224"/>
      <c r="T52" s="224"/>
    </row>
    <row r="53" spans="1:20" ht="15" customHeight="1" x14ac:dyDescent="0.25">
      <c r="A53" s="224"/>
      <c r="B53" s="231"/>
      <c r="C53" s="231"/>
      <c r="D53" s="231"/>
      <c r="E53" s="231"/>
      <c r="F53" s="232"/>
      <c r="G53" s="233"/>
      <c r="H53" s="232"/>
      <c r="I53" s="224"/>
      <c r="J53" s="224"/>
      <c r="K53" s="224"/>
      <c r="L53" s="230"/>
      <c r="M53" s="230"/>
      <c r="N53" s="230"/>
      <c r="O53" s="230"/>
      <c r="P53" s="229"/>
      <c r="Q53" s="224"/>
      <c r="R53" s="224"/>
      <c r="S53" s="224"/>
      <c r="T53" s="224"/>
    </row>
    <row r="54" spans="1:20" ht="15" customHeight="1" x14ac:dyDescent="0.25">
      <c r="A54" s="224"/>
      <c r="B54" s="234"/>
      <c r="C54" s="234"/>
      <c r="D54" s="235"/>
      <c r="E54" s="234"/>
      <c r="F54" s="232"/>
      <c r="G54" s="233"/>
      <c r="H54" s="232"/>
      <c r="I54" s="224"/>
      <c r="J54" s="224"/>
      <c r="K54" s="224"/>
      <c r="L54" s="230"/>
      <c r="M54" s="230"/>
      <c r="N54" s="230"/>
      <c r="O54" s="230"/>
      <c r="P54" s="236"/>
      <c r="Q54" s="224"/>
      <c r="R54" s="224"/>
      <c r="S54" s="224"/>
      <c r="T54" s="224"/>
    </row>
    <row r="55" spans="1:20" ht="15" customHeight="1" x14ac:dyDescent="0.25">
      <c r="A55" s="224"/>
      <c r="B55" s="237"/>
      <c r="C55" s="237"/>
      <c r="D55" s="237"/>
      <c r="E55" s="237"/>
      <c r="F55" s="237"/>
      <c r="G55" s="237"/>
      <c r="H55" s="237"/>
      <c r="I55" s="224"/>
      <c r="J55" s="224"/>
      <c r="K55" s="224"/>
      <c r="L55" s="230"/>
      <c r="M55" s="230"/>
      <c r="N55" s="230"/>
      <c r="O55" s="230"/>
      <c r="P55" s="236"/>
      <c r="Q55" s="224"/>
      <c r="R55" s="224"/>
      <c r="S55" s="224"/>
      <c r="T55" s="224"/>
    </row>
    <row r="56" spans="1:20" ht="15" customHeight="1" x14ac:dyDescent="0.25">
      <c r="A56" s="224"/>
      <c r="B56" s="227"/>
      <c r="C56" s="227"/>
      <c r="D56" s="227"/>
      <c r="E56" s="227"/>
      <c r="F56" s="226"/>
      <c r="G56" s="225"/>
      <c r="H56" s="238"/>
      <c r="I56" s="224"/>
      <c r="J56" s="224"/>
      <c r="K56" s="224"/>
      <c r="L56" s="230"/>
      <c r="M56" s="230"/>
      <c r="N56" s="230"/>
      <c r="O56" s="230"/>
      <c r="P56" s="236"/>
      <c r="Q56" s="224"/>
      <c r="R56" s="224"/>
      <c r="S56" s="224"/>
      <c r="T56" s="224"/>
    </row>
    <row r="57" spans="1:20" ht="15" customHeight="1" x14ac:dyDescent="0.25">
      <c r="A57" s="224"/>
      <c r="B57" s="227"/>
      <c r="C57" s="227"/>
      <c r="D57" s="227"/>
      <c r="E57" s="227"/>
      <c r="F57" s="226"/>
      <c r="G57" s="225"/>
      <c r="H57" s="238"/>
      <c r="I57" s="224"/>
      <c r="J57" s="224"/>
      <c r="K57" s="224"/>
      <c r="L57" s="230"/>
      <c r="M57" s="230"/>
      <c r="N57" s="230"/>
      <c r="O57" s="230"/>
      <c r="P57" s="236"/>
      <c r="Q57" s="224"/>
      <c r="R57" s="224"/>
      <c r="S57" s="224"/>
      <c r="T57" s="224"/>
    </row>
    <row r="58" spans="1:20" ht="15" customHeight="1" x14ac:dyDescent="0.25">
      <c r="A58" s="224"/>
      <c r="B58" s="227"/>
      <c r="C58" s="227"/>
      <c r="D58" s="227"/>
      <c r="E58" s="227"/>
      <c r="F58" s="226"/>
      <c r="G58" s="225"/>
      <c r="H58" s="238"/>
      <c r="I58" s="224"/>
      <c r="J58" s="224"/>
      <c r="K58" s="224"/>
      <c r="L58" s="230"/>
      <c r="M58" s="230"/>
      <c r="N58" s="230"/>
      <c r="O58" s="230"/>
      <c r="P58" s="236"/>
      <c r="Q58" s="224"/>
      <c r="R58" s="224"/>
      <c r="S58" s="224"/>
      <c r="T58" s="224"/>
    </row>
    <row r="59" spans="1:20" ht="15" customHeight="1" x14ac:dyDescent="0.25">
      <c r="A59" s="224"/>
      <c r="B59" s="227"/>
      <c r="C59" s="227"/>
      <c r="D59" s="227"/>
      <c r="E59" s="227"/>
      <c r="F59" s="226"/>
      <c r="G59" s="225"/>
      <c r="H59" s="238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</row>
    <row r="60" spans="1:20" ht="15" customHeight="1" x14ac:dyDescent="0.25">
      <c r="A60" s="224"/>
      <c r="B60" s="227"/>
      <c r="C60" s="227"/>
      <c r="D60" s="227"/>
      <c r="E60" s="227"/>
      <c r="F60" s="226"/>
      <c r="G60" s="225"/>
      <c r="H60" s="238"/>
      <c r="I60" s="224"/>
      <c r="J60" s="224"/>
      <c r="K60" s="224"/>
      <c r="L60" s="227"/>
      <c r="M60" s="227"/>
      <c r="N60" s="227"/>
      <c r="O60" s="224"/>
      <c r="P60" s="224"/>
      <c r="Q60" s="224"/>
      <c r="R60" s="224"/>
      <c r="S60" s="224"/>
      <c r="T60" s="224"/>
    </row>
    <row r="61" spans="1:20" ht="15" customHeight="1" x14ac:dyDescent="0.25">
      <c r="A61" s="224"/>
      <c r="B61" s="227"/>
      <c r="C61" s="227"/>
      <c r="D61" s="227"/>
      <c r="E61" s="227"/>
      <c r="F61" s="226"/>
      <c r="G61" s="225"/>
      <c r="H61" s="238"/>
      <c r="I61" s="224"/>
      <c r="J61" s="224"/>
      <c r="K61" s="224"/>
      <c r="L61" s="239"/>
      <c r="M61" s="224"/>
      <c r="N61" s="224"/>
      <c r="O61" s="224"/>
      <c r="P61" s="224"/>
      <c r="Q61" s="224"/>
      <c r="R61" s="224"/>
      <c r="S61" s="224"/>
      <c r="T61" s="224"/>
    </row>
    <row r="62" spans="1:20" ht="15" customHeight="1" x14ac:dyDescent="0.25">
      <c r="A62" s="224"/>
      <c r="B62" s="227"/>
      <c r="C62" s="227"/>
      <c r="D62" s="227"/>
      <c r="E62" s="227"/>
      <c r="F62" s="226"/>
      <c r="G62" s="225"/>
      <c r="H62" s="238"/>
      <c r="I62" s="224"/>
      <c r="J62" s="224"/>
      <c r="K62" s="224"/>
      <c r="L62" s="239"/>
      <c r="M62" s="224"/>
      <c r="N62" s="224"/>
      <c r="O62" s="224"/>
      <c r="P62" s="224"/>
      <c r="Q62" s="224"/>
      <c r="R62" s="224"/>
      <c r="S62" s="224"/>
      <c r="T62" s="224"/>
    </row>
    <row r="63" spans="1:20" ht="15" customHeight="1" x14ac:dyDescent="0.25">
      <c r="A63" s="224"/>
      <c r="B63" s="227"/>
      <c r="C63" s="227"/>
      <c r="D63" s="227"/>
      <c r="E63" s="227"/>
      <c r="F63" s="226"/>
      <c r="G63" s="225"/>
      <c r="H63" s="238"/>
      <c r="I63" s="224"/>
      <c r="J63" s="224"/>
      <c r="K63" s="224"/>
      <c r="L63" s="224"/>
      <c r="M63" s="224"/>
      <c r="N63" s="224"/>
      <c r="O63" s="224"/>
      <c r="P63" s="224"/>
      <c r="Q63" s="240"/>
      <c r="R63" s="240"/>
      <c r="S63" s="240"/>
      <c r="T63" s="224"/>
    </row>
    <row r="64" spans="1:20" ht="15" customHeight="1" x14ac:dyDescent="0.25">
      <c r="A64" s="224"/>
      <c r="B64" s="227"/>
      <c r="C64" s="227"/>
      <c r="D64" s="227"/>
      <c r="E64" s="227"/>
      <c r="F64" s="224"/>
      <c r="G64" s="236"/>
      <c r="H64" s="224"/>
      <c r="I64" s="224"/>
      <c r="J64" s="224"/>
      <c r="K64" s="224"/>
      <c r="L64" s="224"/>
      <c r="M64" s="236"/>
      <c r="N64" s="224"/>
      <c r="O64" s="224"/>
      <c r="P64" s="224"/>
      <c r="Q64" s="241"/>
      <c r="R64" s="227"/>
      <c r="S64" s="227"/>
      <c r="T64" s="224"/>
    </row>
    <row r="65" spans="1:20" ht="15" customHeight="1" x14ac:dyDescent="0.25">
      <c r="A65" s="224"/>
      <c r="B65" s="242"/>
      <c r="C65" s="242"/>
      <c r="D65" s="242"/>
      <c r="E65" s="242"/>
      <c r="F65" s="243"/>
      <c r="G65" s="244"/>
      <c r="H65" s="243"/>
      <c r="I65" s="224"/>
      <c r="J65" s="224"/>
      <c r="K65" s="224"/>
      <c r="L65" s="224"/>
      <c r="M65" s="224"/>
      <c r="N65" s="224"/>
      <c r="O65" s="224"/>
      <c r="P65" s="224"/>
      <c r="Q65" s="241"/>
      <c r="R65" s="227"/>
      <c r="S65" s="227"/>
      <c r="T65" s="224"/>
    </row>
    <row r="66" spans="1:20" ht="15" customHeight="1" x14ac:dyDescent="0.25">
      <c r="A66" s="224"/>
      <c r="B66" s="242"/>
      <c r="C66" s="242"/>
      <c r="D66" s="242"/>
      <c r="E66" s="242"/>
      <c r="F66" s="244"/>
      <c r="G66" s="245"/>
      <c r="H66" s="244"/>
      <c r="I66" s="224"/>
      <c r="J66" s="224"/>
      <c r="K66" s="224"/>
      <c r="L66" s="224"/>
      <c r="M66" s="224"/>
      <c r="N66" s="224"/>
      <c r="O66" s="224"/>
      <c r="P66" s="224"/>
      <c r="Q66" s="246"/>
      <c r="R66" s="224"/>
      <c r="S66" s="224"/>
      <c r="T66" s="224"/>
    </row>
    <row r="67" spans="1:20" ht="15" customHeight="1" x14ac:dyDescent="0.25">
      <c r="A67" s="224"/>
      <c r="B67" s="247"/>
      <c r="C67" s="247"/>
      <c r="D67" s="247"/>
      <c r="E67" s="247"/>
      <c r="F67" s="248"/>
      <c r="G67" s="249"/>
      <c r="H67" s="248"/>
      <c r="I67" s="224"/>
      <c r="J67" s="224"/>
      <c r="K67" s="224"/>
      <c r="L67" s="224"/>
      <c r="M67" s="224"/>
      <c r="N67" s="224"/>
      <c r="O67" s="224"/>
      <c r="P67" s="224"/>
      <c r="Q67" s="246"/>
      <c r="R67" s="224"/>
      <c r="S67" s="224"/>
      <c r="T67" s="224"/>
    </row>
    <row r="68" spans="1:20" ht="15" customHeight="1" x14ac:dyDescent="0.25">
      <c r="A68" s="224"/>
      <c r="B68" s="247"/>
      <c r="C68" s="247"/>
      <c r="D68" s="247"/>
      <c r="E68" s="247"/>
      <c r="F68" s="248"/>
      <c r="G68" s="249"/>
      <c r="H68" s="248"/>
      <c r="I68" s="224"/>
      <c r="J68" s="224"/>
      <c r="K68" s="224"/>
      <c r="L68" s="224"/>
      <c r="M68" s="224"/>
      <c r="N68" s="224"/>
      <c r="O68" s="224"/>
      <c r="P68" s="224"/>
      <c r="Q68" s="246"/>
      <c r="R68" s="224"/>
      <c r="S68" s="224"/>
      <c r="T68" s="224"/>
    </row>
    <row r="69" spans="1:20" ht="15" customHeight="1" x14ac:dyDescent="0.25">
      <c r="A69" s="224"/>
      <c r="B69" s="224"/>
      <c r="C69" s="224"/>
      <c r="D69" s="224"/>
      <c r="E69" s="224"/>
      <c r="F69" s="250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46"/>
      <c r="R69" s="229"/>
      <c r="S69" s="224"/>
      <c r="T69" s="224"/>
    </row>
    <row r="70" spans="1:20" x14ac:dyDescent="0.25">
      <c r="A70" s="224"/>
      <c r="B70" s="224"/>
      <c r="C70" s="224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</row>
    <row r="71" spans="1:20" x14ac:dyDescent="0.25">
      <c r="A71" s="224"/>
      <c r="B71" s="224"/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</row>
    <row r="72" spans="1:20" x14ac:dyDescent="0.25">
      <c r="A72" s="224"/>
      <c r="B72" s="224"/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</row>
    <row r="73" spans="1:20" x14ac:dyDescent="0.25">
      <c r="A73" s="224"/>
      <c r="B73" s="224"/>
      <c r="C73" s="224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</row>
    <row r="74" spans="1:20" x14ac:dyDescent="0.25">
      <c r="A74" s="224"/>
      <c r="B74" s="224"/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</row>
    <row r="75" spans="1:20" x14ac:dyDescent="0.25">
      <c r="A75" s="224"/>
      <c r="B75" s="224"/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</row>
    <row r="76" spans="1:20" x14ac:dyDescent="0.25">
      <c r="A76" s="224"/>
      <c r="B76" s="224"/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</row>
    <row r="77" spans="1:20" x14ac:dyDescent="0.25">
      <c r="A77" s="224"/>
      <c r="B77" s="224"/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</row>
    <row r="78" spans="1:20" x14ac:dyDescent="0.25">
      <c r="A78" s="224"/>
      <c r="B78" s="224"/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</row>
    <row r="79" spans="1:20" x14ac:dyDescent="0.25">
      <c r="A79" s="224"/>
      <c r="B79" s="224"/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</row>
    <row r="80" spans="1:20" x14ac:dyDescent="0.25">
      <c r="A80" s="224"/>
      <c r="B80" s="224"/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</row>
  </sheetData>
  <sheetProtection algorithmName="SHA-512" hashValue="34f9+Lt0JxnHy7Etoy7qPHCt5sNxWHcdGSb00O9nelVSQ3GdZhGB8SkmlexTGsZJhTG6eRpXGx3RJmcAi9VdUA==" saltValue="UNPhqSPWSWrEJcJ8e0jKTQ==" spinCount="100000" sheet="1" objects="1" scenarios="1" sort="0" autoFilter="0" pivotTables="0"/>
  <mergeCells count="49">
    <mergeCell ref="L40:O43"/>
    <mergeCell ref="L39:O39"/>
    <mergeCell ref="B43:E43"/>
    <mergeCell ref="B27:E27"/>
    <mergeCell ref="B47:D47"/>
    <mergeCell ref="B28:E28"/>
    <mergeCell ref="L44:O44"/>
    <mergeCell ref="L45:O45"/>
    <mergeCell ref="G31:G33"/>
    <mergeCell ref="L46:O46"/>
    <mergeCell ref="L47:O47"/>
    <mergeCell ref="B35:H35"/>
    <mergeCell ref="B38:H38"/>
    <mergeCell ref="B46:E46"/>
    <mergeCell ref="B36:C36"/>
    <mergeCell ref="B37:C37"/>
    <mergeCell ref="P29:Q29"/>
    <mergeCell ref="R29:R30"/>
    <mergeCell ref="L31:N31"/>
    <mergeCell ref="L32:N32"/>
    <mergeCell ref="L33:N33"/>
    <mergeCell ref="L29:N30"/>
    <mergeCell ref="C5:H5"/>
    <mergeCell ref="B2:H2"/>
    <mergeCell ref="C51:D51"/>
    <mergeCell ref="F29:G29"/>
    <mergeCell ref="H29:H30"/>
    <mergeCell ref="B29:D30"/>
    <mergeCell ref="B31:D31"/>
    <mergeCell ref="B32:D32"/>
    <mergeCell ref="B34:F34"/>
    <mergeCell ref="G34:H34"/>
    <mergeCell ref="B12:H26"/>
    <mergeCell ref="O5:S5"/>
    <mergeCell ref="C52:D52"/>
    <mergeCell ref="F52:H52"/>
    <mergeCell ref="F51:H51"/>
    <mergeCell ref="B3:C3"/>
    <mergeCell ref="D3:H3"/>
    <mergeCell ref="B11:H11"/>
    <mergeCell ref="F8:G8"/>
    <mergeCell ref="F9:G9"/>
    <mergeCell ref="B7:H7"/>
    <mergeCell ref="B33:D33"/>
    <mergeCell ref="B48:H48"/>
    <mergeCell ref="B44:E44"/>
    <mergeCell ref="B45:E45"/>
    <mergeCell ref="B41:H41"/>
    <mergeCell ref="B42:E42"/>
  </mergeCells>
  <conditionalFormatting sqref="F36:F37 F39:F40">
    <cfRule type="cellIs" dxfId="13" priority="7" operator="equal">
      <formula>"&gt;"</formula>
    </cfRule>
    <cfRule type="cellIs" dxfId="12" priority="8" operator="equal">
      <formula>"&lt;"</formula>
    </cfRule>
  </conditionalFormatting>
  <conditionalFormatting sqref="B48:H48">
    <cfRule type="cellIs" dxfId="11" priority="5" operator="equal">
      <formula>"ATT.NE! DEFORMAZIONE NON VERIFICATA!"</formula>
    </cfRule>
    <cfRule type="cellIs" dxfId="10" priority="6" operator="equal">
      <formula>"DEFORMAZIONE LIMITE VERIFICATA"</formula>
    </cfRule>
  </conditionalFormatting>
  <conditionalFormatting sqref="H8:J10">
    <cfRule type="containsText" dxfId="9" priority="3" operator="containsText" text="OK">
      <formula>NOT(ISERROR(SEARCH("OK",H8)))</formula>
    </cfRule>
    <cfRule type="containsText" dxfId="8" priority="4" operator="containsText" text="ERRORE">
      <formula>NOT(ISERROR(SEARCH("ERRORE",H8)))</formula>
    </cfRule>
  </conditionalFormatting>
  <dataValidations count="5">
    <dataValidation type="list" allowBlank="1" showInputMessage="1" showErrorMessage="1" sqref="C10">
      <formula1>diametri</formula1>
    </dataValidation>
    <dataValidation type="list" allowBlank="1" showInputMessage="1" showErrorMessage="1" sqref="E9:E10">
      <formula1>cem</formula1>
    </dataValidation>
    <dataValidation type="list" allowBlank="1" showInputMessage="1" showErrorMessage="1" sqref="C8">
      <formula1>Modello2</formula1>
    </dataValidation>
    <dataValidation type="list" allowBlank="1" showInputMessage="1" showErrorMessage="1" sqref="E8">
      <formula1>Altezze2</formula1>
    </dataValidation>
    <dataValidation type="list" allowBlank="1" showInputMessage="1" showErrorMessage="1" sqref="C9">
      <formula1>Ferri2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horizont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">
    <pageSetUpPr fitToPage="1"/>
  </sheetPr>
  <dimension ref="B1:X120"/>
  <sheetViews>
    <sheetView topLeftCell="A4" zoomScale="85" zoomScaleNormal="85" workbookViewId="0">
      <selection activeCell="G33" sqref="G33"/>
    </sheetView>
  </sheetViews>
  <sheetFormatPr defaultRowHeight="15" x14ac:dyDescent="0.25"/>
  <cols>
    <col min="1" max="1" width="4.7109375" customWidth="1"/>
    <col min="2" max="8" width="12.7109375" customWidth="1"/>
    <col min="9" max="9" width="4.7109375" customWidth="1"/>
    <col min="10" max="10" width="2" style="25" customWidth="1"/>
    <col min="11" max="11" width="4.7109375" customWidth="1"/>
    <col min="12" max="19" width="9.7109375" customWidth="1"/>
    <col min="21" max="21" width="9.7109375" bestFit="1" customWidth="1"/>
  </cols>
  <sheetData>
    <row r="1" spans="2:18" ht="15" customHeight="1" thickBot="1" x14ac:dyDescent="0.3"/>
    <row r="2" spans="2:18" ht="15" customHeight="1" x14ac:dyDescent="0.35">
      <c r="B2" s="484" t="s">
        <v>223</v>
      </c>
      <c r="C2" s="485"/>
      <c r="D2" s="485"/>
      <c r="E2" s="485"/>
      <c r="F2" s="485"/>
      <c r="G2" s="485"/>
      <c r="H2" s="149" t="s">
        <v>182</v>
      </c>
    </row>
    <row r="3" spans="2:18" ht="15" customHeight="1" thickBot="1" x14ac:dyDescent="0.3">
      <c r="B3" s="492" t="s">
        <v>103</v>
      </c>
      <c r="C3" s="493"/>
      <c r="D3" s="494" t="str">
        <f>'ESSE THERM in opera'!C8</f>
        <v>ET 6-8</v>
      </c>
      <c r="E3" s="494"/>
      <c r="F3" s="494"/>
      <c r="G3" s="494"/>
      <c r="H3" s="495"/>
    </row>
    <row r="4" spans="2:18" s="1" customFormat="1" ht="15" customHeight="1" thickBot="1" x14ac:dyDescent="0.3">
      <c r="B4" s="91"/>
      <c r="C4" s="91"/>
      <c r="D4" s="91"/>
      <c r="E4" s="91"/>
      <c r="F4" s="91"/>
      <c r="G4" s="91"/>
      <c r="H4" s="91"/>
      <c r="J4" s="26"/>
    </row>
    <row r="5" spans="2:18" ht="15" customHeight="1" thickBot="1" x14ac:dyDescent="0.3">
      <c r="B5" s="501" t="s">
        <v>5</v>
      </c>
      <c r="C5" s="502"/>
      <c r="D5" s="502"/>
      <c r="E5" s="502"/>
      <c r="F5" s="502"/>
      <c r="G5" s="502"/>
      <c r="H5" s="503"/>
      <c r="J5" s="26"/>
      <c r="K5" s="1"/>
      <c r="L5" s="1"/>
      <c r="M5" s="1"/>
      <c r="N5" s="1"/>
      <c r="O5" s="1"/>
    </row>
    <row r="6" spans="2:18" ht="15" customHeight="1" x14ac:dyDescent="0.25">
      <c r="B6" s="496" t="s">
        <v>225</v>
      </c>
      <c r="C6" s="497"/>
      <c r="D6" s="498" t="str">
        <f>'ESSE THERM in opera'!E9</f>
        <v>28/35</v>
      </c>
      <c r="E6" s="499"/>
      <c r="F6" s="499"/>
      <c r="G6" s="499"/>
      <c r="H6" s="500"/>
      <c r="J6" s="26"/>
      <c r="K6" s="1"/>
      <c r="L6" s="543" t="s">
        <v>272</v>
      </c>
      <c r="M6" s="544"/>
      <c r="N6" s="544"/>
      <c r="O6" s="545"/>
    </row>
    <row r="7" spans="2:18" ht="15" customHeight="1" thickBot="1" x14ac:dyDescent="0.3">
      <c r="B7" s="165" t="s">
        <v>110</v>
      </c>
      <c r="C7" s="199">
        <f>IF('ESSE THERM in opera'!E9="20/25",20,IF('ESSE THERM in opera'!E9="25/30",25,IF('ESSE THERM in opera'!E9="28/35",28,IF('ESSE THERM in opera'!E9="30/37",30,IF('ESSE THERM in opera'!E9="32/40",32,IF('ESSE THERM in opera'!E9="35/45",35,IF('ESSE THERM in opera'!E9="40/50",40,0)))))))</f>
        <v>28</v>
      </c>
      <c r="D7" s="206" t="s">
        <v>6</v>
      </c>
      <c r="E7" s="207">
        <f>C7/1.5*0.85</f>
        <v>15.866666666666667</v>
      </c>
      <c r="F7" s="206" t="s">
        <v>201</v>
      </c>
      <c r="G7" s="208">
        <f>22*((C7+8)/10)^0.3*1000</f>
        <v>32308.249722965833</v>
      </c>
      <c r="H7" s="209" t="s">
        <v>79</v>
      </c>
      <c r="J7" s="26"/>
      <c r="K7" s="1"/>
      <c r="L7" s="194" t="s">
        <v>167</v>
      </c>
      <c r="M7" s="12">
        <f>0.3*C7^(2/3)</f>
        <v>2.7662617752350669</v>
      </c>
      <c r="N7" s="40" t="s">
        <v>148</v>
      </c>
      <c r="O7" s="195">
        <f>M7*1.2</f>
        <v>3.3195141302820801</v>
      </c>
    </row>
    <row r="8" spans="2:18" ht="15" customHeight="1" thickTop="1" thickBot="1" x14ac:dyDescent="0.3">
      <c r="B8" s="515" t="s">
        <v>4</v>
      </c>
      <c r="C8" s="516"/>
      <c r="D8" s="517" t="s">
        <v>263</v>
      </c>
      <c r="E8" s="518"/>
      <c r="F8" s="518"/>
      <c r="G8" s="518"/>
      <c r="H8" s="519"/>
      <c r="J8" s="26"/>
      <c r="K8" s="1"/>
      <c r="N8" s="2"/>
      <c r="O8" s="1"/>
    </row>
    <row r="9" spans="2:18" ht="15" customHeight="1" thickBot="1" x14ac:dyDescent="0.3">
      <c r="B9" s="166" t="s">
        <v>198</v>
      </c>
      <c r="C9" s="200">
        <v>45</v>
      </c>
      <c r="D9" s="210" t="s">
        <v>199</v>
      </c>
      <c r="E9" s="211">
        <f>C9/1.5*0.85</f>
        <v>25.5</v>
      </c>
      <c r="F9" s="210" t="s">
        <v>200</v>
      </c>
      <c r="G9" s="212">
        <f>22*((C9+8)/10)^0.3*1000</f>
        <v>36283.188218914132</v>
      </c>
      <c r="H9" s="213" t="s">
        <v>79</v>
      </c>
      <c r="J9" s="26"/>
      <c r="K9" s="1"/>
      <c r="L9" s="583"/>
      <c r="M9" s="584"/>
      <c r="N9" s="584"/>
      <c r="O9" s="584"/>
      <c r="P9" s="584"/>
      <c r="Q9" s="585"/>
    </row>
    <row r="10" spans="2:18" ht="15" customHeight="1" thickTop="1" thickBot="1" x14ac:dyDescent="0.3">
      <c r="B10" s="515" t="s">
        <v>0</v>
      </c>
      <c r="C10" s="516"/>
      <c r="D10" s="458" t="s">
        <v>2</v>
      </c>
      <c r="E10" s="459"/>
      <c r="F10" s="459"/>
      <c r="G10" s="459"/>
      <c r="H10" s="460"/>
      <c r="J10" s="26"/>
      <c r="K10" s="1"/>
      <c r="L10" s="586" t="s">
        <v>262</v>
      </c>
      <c r="M10" s="587"/>
      <c r="N10" s="587"/>
      <c r="O10" s="588"/>
      <c r="P10" s="592" t="s">
        <v>261</v>
      </c>
      <c r="Q10" s="593"/>
    </row>
    <row r="11" spans="2:18" ht="15" customHeight="1" thickBot="1" x14ac:dyDescent="0.3">
      <c r="B11" s="166" t="s">
        <v>111</v>
      </c>
      <c r="C11" s="200">
        <v>450</v>
      </c>
      <c r="D11" s="167" t="s">
        <v>56</v>
      </c>
      <c r="E11" s="168">
        <f>C11/1.15</f>
        <v>391.304347826087</v>
      </c>
      <c r="F11" s="167" t="s">
        <v>202</v>
      </c>
      <c r="G11" s="167">
        <v>170000</v>
      </c>
      <c r="H11" s="169" t="s">
        <v>79</v>
      </c>
      <c r="J11" s="26"/>
      <c r="K11" s="1"/>
      <c r="L11" s="589"/>
      <c r="M11" s="590"/>
      <c r="N11" s="590"/>
      <c r="O11" s="590"/>
      <c r="P11" s="590"/>
      <c r="Q11" s="591"/>
    </row>
    <row r="12" spans="2:18" ht="15" customHeight="1" thickTop="1" thickBot="1" x14ac:dyDescent="0.3">
      <c r="B12" s="504" t="s">
        <v>1</v>
      </c>
      <c r="C12" s="505"/>
      <c r="D12" s="458" t="s">
        <v>3</v>
      </c>
      <c r="E12" s="459"/>
      <c r="F12" s="459"/>
      <c r="G12" s="459"/>
      <c r="H12" s="460"/>
      <c r="J12" s="26"/>
      <c r="K12" s="1"/>
      <c r="L12" s="1"/>
      <c r="M12" s="1"/>
      <c r="N12" s="1"/>
      <c r="O12" s="1"/>
    </row>
    <row r="13" spans="2:18" ht="15" customHeight="1" thickBot="1" x14ac:dyDescent="0.3">
      <c r="B13" s="68" t="s">
        <v>111</v>
      </c>
      <c r="C13" s="201">
        <v>450</v>
      </c>
      <c r="D13" s="40" t="s">
        <v>56</v>
      </c>
      <c r="E13" s="12">
        <f>C13/1.15</f>
        <v>391.304347826087</v>
      </c>
      <c r="F13" s="40" t="s">
        <v>203</v>
      </c>
      <c r="G13" s="40">
        <v>210000</v>
      </c>
      <c r="H13" s="170" t="s">
        <v>79</v>
      </c>
      <c r="J13" s="26"/>
      <c r="K13" s="1"/>
      <c r="L13" s="577" t="s">
        <v>264</v>
      </c>
      <c r="M13" s="578"/>
      <c r="N13" s="578"/>
      <c r="O13" s="578"/>
      <c r="P13" s="578"/>
      <c r="Q13" s="579"/>
    </row>
    <row r="14" spans="2:18" ht="15" customHeight="1" thickBot="1" x14ac:dyDescent="0.3">
      <c r="B14" s="533" t="s">
        <v>115</v>
      </c>
      <c r="C14" s="534"/>
      <c r="D14" s="534"/>
      <c r="E14" s="534"/>
      <c r="F14" s="35"/>
      <c r="G14" s="531" t="s">
        <v>74</v>
      </c>
      <c r="H14" s="532"/>
      <c r="L14" s="192" t="s">
        <v>233</v>
      </c>
      <c r="M14" s="190">
        <f>G24</f>
        <v>14</v>
      </c>
      <c r="N14" s="191" t="s">
        <v>234</v>
      </c>
      <c r="O14" s="191">
        <f>G25</f>
        <v>10</v>
      </c>
      <c r="P14" s="193">
        <f>O14^2/M14^2+0.005</f>
        <v>0.51520408163265308</v>
      </c>
      <c r="Q14" s="170" t="str">
        <f>IF(P14&lt;0.2,"NO","OK")</f>
        <v>OK</v>
      </c>
    </row>
    <row r="15" spans="2:18" s="42" customFormat="1" ht="15" customHeight="1" thickBot="1" x14ac:dyDescent="0.3">
      <c r="B15" s="461" t="s">
        <v>15</v>
      </c>
      <c r="C15" s="462"/>
      <c r="D15" s="462"/>
      <c r="E15" s="462"/>
      <c r="F15" s="44" t="s">
        <v>9</v>
      </c>
      <c r="G15" s="202">
        <f>'ESSE THERM in opera'!E8</f>
        <v>160</v>
      </c>
      <c r="H15" s="45" t="s">
        <v>7</v>
      </c>
      <c r="J15" s="46"/>
      <c r="L15" s="188"/>
      <c r="M15" s="188"/>
      <c r="N15" s="188"/>
      <c r="O15" s="188"/>
      <c r="P15" s="188"/>
      <c r="Q15" s="188"/>
      <c r="R15" s="188"/>
    </row>
    <row r="16" spans="2:18" s="42" customFormat="1" ht="15" customHeight="1" x14ac:dyDescent="0.25">
      <c r="B16" s="463" t="s">
        <v>16</v>
      </c>
      <c r="C16" s="464"/>
      <c r="D16" s="464"/>
      <c r="E16" s="464"/>
      <c r="F16" s="37" t="s">
        <v>10</v>
      </c>
      <c r="G16" s="216">
        <f>IF('ESSE THERM in opera'!C8="ETmini8",80,IF('ESSE THERM in opera'!C8="ETmini12",120,IF('ESSE THERM in opera'!C8="ET 6-8",80,IF('ESSE THERM in opera'!C8="ET 8-8",80,IF('ESSE THERM in opera'!C8="ET 10-8",80,120)))))</f>
        <v>80</v>
      </c>
      <c r="H16" s="47" t="s">
        <v>7</v>
      </c>
      <c r="J16" s="46"/>
      <c r="L16" s="43" t="s">
        <v>85</v>
      </c>
      <c r="M16" s="48">
        <f>G16+8*G20</f>
        <v>128</v>
      </c>
      <c r="N16" s="80" t="s">
        <v>7</v>
      </c>
      <c r="O16" s="80" t="s">
        <v>88</v>
      </c>
      <c r="P16" s="48">
        <f>(P18^2-P17^2)^0.5</f>
        <v>60.060386279144097</v>
      </c>
      <c r="Q16" s="49" t="s">
        <v>7</v>
      </c>
    </row>
    <row r="17" spans="2:24" s="155" customFormat="1" ht="15" customHeight="1" x14ac:dyDescent="0.25">
      <c r="B17" s="465" t="s">
        <v>230</v>
      </c>
      <c r="C17" s="466"/>
      <c r="D17" s="466"/>
      <c r="E17" s="467"/>
      <c r="F17" s="154" t="s">
        <v>20</v>
      </c>
      <c r="G17" s="203">
        <f>IF('ESSE THERM in opera'!C8="ET 6-8",200,IF('ESSE THERM in opera'!C8="ET 6-12",200,IF('ESSE THERM in opera'!C8="ET 8-8",200,IF('ESSE THERM in opera'!C8="ET 8-12",200,250))))</f>
        <v>200</v>
      </c>
      <c r="H17" s="47" t="s">
        <v>7</v>
      </c>
      <c r="J17" s="46"/>
      <c r="L17" s="41" t="s">
        <v>86</v>
      </c>
      <c r="M17" s="38">
        <f>G15-G18-MAX(G18,G19)-10*G20</f>
        <v>31</v>
      </c>
      <c r="N17" s="78" t="s">
        <v>7</v>
      </c>
      <c r="O17" s="78" t="s">
        <v>89</v>
      </c>
      <c r="P17" s="38">
        <f>4.5*G20</f>
        <v>27</v>
      </c>
      <c r="Q17" s="189" t="s">
        <v>7</v>
      </c>
    </row>
    <row r="18" spans="2:24" s="42" customFormat="1" ht="15" customHeight="1" x14ac:dyDescent="0.25">
      <c r="B18" s="463" t="s">
        <v>14</v>
      </c>
      <c r="C18" s="464"/>
      <c r="D18" s="464"/>
      <c r="E18" s="464"/>
      <c r="F18" s="37" t="s">
        <v>17</v>
      </c>
      <c r="G18" s="216">
        <f>IF('ESSE THERM in opera'!C8="ETmini8",20,IF('ESSE THERM in opera'!C8="ETmini12",20,30))</f>
        <v>30</v>
      </c>
      <c r="H18" s="47" t="s">
        <v>7</v>
      </c>
      <c r="J18" s="46"/>
      <c r="L18" s="41" t="s">
        <v>87</v>
      </c>
      <c r="M18" s="38">
        <f>(M17^2+M16^2)^0.5</f>
        <v>131.70041761513136</v>
      </c>
      <c r="N18" s="78" t="s">
        <v>7</v>
      </c>
      <c r="O18" s="78" t="s">
        <v>90</v>
      </c>
      <c r="P18" s="38">
        <f>M18/2</f>
        <v>65.850208807565679</v>
      </c>
      <c r="Q18" s="189" t="s">
        <v>7</v>
      </c>
    </row>
    <row r="19" spans="2:24" s="42" customFormat="1" ht="15" customHeight="1" thickBot="1" x14ac:dyDescent="0.3">
      <c r="B19" s="525" t="s">
        <v>102</v>
      </c>
      <c r="C19" s="526"/>
      <c r="D19" s="526"/>
      <c r="E19" s="526"/>
      <c r="F19" s="50" t="s">
        <v>101</v>
      </c>
      <c r="G19" s="216">
        <f>IF('ESSE THERM in opera'!C8="ETmini8",30,IF('ESSE THERM in opera'!C8="ETmini12",30,39))</f>
        <v>39</v>
      </c>
      <c r="H19" s="51" t="s">
        <v>7</v>
      </c>
      <c r="J19" s="46"/>
      <c r="L19" s="53" t="s">
        <v>82</v>
      </c>
      <c r="M19" s="12">
        <f>DEGREES(ATAN(M17/M16))</f>
        <v>13.614182744829353</v>
      </c>
      <c r="N19" s="40" t="s">
        <v>19</v>
      </c>
      <c r="O19" s="54" t="s">
        <v>83</v>
      </c>
      <c r="P19" s="12">
        <f>DEGREES(ATAN(P17/P16))</f>
        <v>24.206184078253248</v>
      </c>
      <c r="Q19" s="55" t="s">
        <v>19</v>
      </c>
    </row>
    <row r="20" spans="2:24" s="42" customFormat="1" ht="15" customHeight="1" thickTop="1" x14ac:dyDescent="0.25">
      <c r="B20" s="527" t="s">
        <v>11</v>
      </c>
      <c r="C20" s="528"/>
      <c r="D20" s="528"/>
      <c r="E20" s="528"/>
      <c r="F20" s="157" t="s">
        <v>232</v>
      </c>
      <c r="G20" s="217">
        <f>IF('ESSE THERM in opera'!C8="ETmini8",6,IF('ESSE THERM in opera'!C8="ETmini12",6,IF('ESSE THERM in opera'!C8="ET 6-8",6,IF('ESSE THERM in opera'!C8="ET 6-12",6,IF('ESSE THERM in opera'!C8="ET 8-8",8,IF('ESSE THERM in opera'!C8="ET 8-12",8,10))))))</f>
        <v>6</v>
      </c>
      <c r="H20" s="158" t="s">
        <v>7</v>
      </c>
      <c r="J20" s="46"/>
      <c r="L20" s="58" t="s">
        <v>84</v>
      </c>
      <c r="M20" s="39">
        <f>M19+P19</f>
        <v>37.820366823082601</v>
      </c>
      <c r="N20" s="580" t="s">
        <v>91</v>
      </c>
      <c r="O20" s="581"/>
      <c r="P20" s="581"/>
      <c r="Q20" s="582"/>
    </row>
    <row r="21" spans="2:24" s="42" customFormat="1" ht="15" customHeight="1" thickBot="1" x14ac:dyDescent="0.3">
      <c r="B21" s="529" t="s">
        <v>229</v>
      </c>
      <c r="C21" s="530"/>
      <c r="D21" s="530"/>
      <c r="E21" s="530"/>
      <c r="F21" s="156" t="s">
        <v>238</v>
      </c>
      <c r="G21" s="56">
        <f>IF(G20=8,200,IF(G20=6,150,IF(G20=10,250,"N.D.")))</f>
        <v>150</v>
      </c>
      <c r="H21" s="57" t="s">
        <v>7</v>
      </c>
      <c r="J21" s="46"/>
      <c r="L21" s="572" t="s">
        <v>92</v>
      </c>
      <c r="M21" s="573"/>
      <c r="N21" s="573"/>
      <c r="O21" s="574"/>
      <c r="P21" s="575" t="str">
        <f>IF(M17&lt;0, "geometrie incompatibili", "OK")</f>
        <v>OK</v>
      </c>
      <c r="Q21" s="576"/>
    </row>
    <row r="22" spans="2:24" s="42" customFormat="1" ht="15" customHeight="1" x14ac:dyDescent="0.25">
      <c r="B22" s="520" t="s">
        <v>18</v>
      </c>
      <c r="C22" s="521"/>
      <c r="D22" s="521"/>
      <c r="E22" s="521"/>
      <c r="F22" s="179" t="s">
        <v>21</v>
      </c>
      <c r="G22" s="180">
        <f>M20</f>
        <v>37.820366823082601</v>
      </c>
      <c r="H22" s="181" t="s">
        <v>19</v>
      </c>
      <c r="J22" s="46"/>
    </row>
    <row r="23" spans="2:24" s="178" customFormat="1" ht="15" customHeight="1" thickBot="1" x14ac:dyDescent="0.3">
      <c r="B23" s="522" t="s">
        <v>231</v>
      </c>
      <c r="C23" s="523"/>
      <c r="D23" s="523"/>
      <c r="E23" s="524"/>
      <c r="F23" s="59" t="s">
        <v>256</v>
      </c>
      <c r="G23" s="60">
        <f>G17+G29</f>
        <v>279</v>
      </c>
      <c r="H23" s="61" t="s">
        <v>7</v>
      </c>
      <c r="J23" s="46"/>
      <c r="L23" s="183" t="s">
        <v>237</v>
      </c>
      <c r="M23" s="67"/>
      <c r="N23" s="67"/>
      <c r="O23" s="67"/>
      <c r="P23" s="67"/>
      <c r="Q23" s="67"/>
      <c r="R23" s="178">
        <f>G20*33</f>
        <v>198</v>
      </c>
      <c r="S23" s="188" t="s">
        <v>7</v>
      </c>
    </row>
    <row r="24" spans="2:24" s="42" customFormat="1" ht="15" customHeight="1" thickTop="1" thickBot="1" x14ac:dyDescent="0.3">
      <c r="B24" s="477" t="s">
        <v>12</v>
      </c>
      <c r="C24" s="478"/>
      <c r="D24" s="478"/>
      <c r="E24" s="478"/>
      <c r="F24" s="159" t="s">
        <v>233</v>
      </c>
      <c r="G24" s="204">
        <f>'ESSE THERM in opera'!C9</f>
        <v>14</v>
      </c>
      <c r="H24" s="160" t="s">
        <v>7</v>
      </c>
      <c r="J24" s="46"/>
    </row>
    <row r="25" spans="2:24" s="42" customFormat="1" ht="15" customHeight="1" thickTop="1" x14ac:dyDescent="0.25">
      <c r="B25" s="479" t="s">
        <v>13</v>
      </c>
      <c r="C25" s="480"/>
      <c r="D25" s="480"/>
      <c r="E25" s="480"/>
      <c r="F25" s="161" t="s">
        <v>234</v>
      </c>
      <c r="G25" s="218">
        <f>IF('ESSE THERM in opera'!C8="ETmini8",8,IF('ESSE THERM in opera'!C8="ETmini12",8,10))</f>
        <v>10</v>
      </c>
      <c r="H25" s="162" t="s">
        <v>7</v>
      </c>
      <c r="J25" s="46"/>
      <c r="L25" s="62" t="s">
        <v>237</v>
      </c>
      <c r="R25" s="42">
        <f>36*G25</f>
        <v>360</v>
      </c>
      <c r="S25" s="42" t="s">
        <v>7</v>
      </c>
    </row>
    <row r="26" spans="2:24" s="42" customFormat="1" ht="15" customHeight="1" thickBot="1" x14ac:dyDescent="0.3">
      <c r="B26" s="481" t="s">
        <v>231</v>
      </c>
      <c r="C26" s="482"/>
      <c r="D26" s="482"/>
      <c r="E26" s="483"/>
      <c r="F26" s="150" t="s">
        <v>227</v>
      </c>
      <c r="G26" s="214">
        <f>G17+G29+G25+G20</f>
        <v>295</v>
      </c>
      <c r="H26" s="151" t="s">
        <v>7</v>
      </c>
      <c r="J26" s="46"/>
      <c r="L26" s="62" t="s">
        <v>236</v>
      </c>
    </row>
    <row r="27" spans="2:24" s="42" customFormat="1" ht="15" customHeight="1" thickTop="1" thickBot="1" x14ac:dyDescent="0.3">
      <c r="B27" s="472" t="s">
        <v>27</v>
      </c>
      <c r="C27" s="473"/>
      <c r="D27" s="473"/>
      <c r="E27" s="473"/>
      <c r="F27" s="163" t="s">
        <v>235</v>
      </c>
      <c r="G27" s="219">
        <f>IF('ESSE THERM in opera'!C8="ETmini8",45,IF('ESSE THERM in opera'!C8="ETmini12",45,IF('ESSE THERM in opera'!C8="ET 6-8",55,IF('ESSE THERM in opera'!C8="ET 8-8",55,IF('ESSE THERM in opera'!C8="ET 6-12",55,IF('ESSE THERM in opera'!C8="ET 8-12",55,70))))))</f>
        <v>55</v>
      </c>
      <c r="H27" s="164" t="s">
        <v>7</v>
      </c>
      <c r="J27" s="46"/>
      <c r="L27" s="62" t="s">
        <v>33</v>
      </c>
    </row>
    <row r="28" spans="2:24" ht="15" customHeight="1" x14ac:dyDescent="0.25">
      <c r="B28" s="474" t="s">
        <v>28</v>
      </c>
      <c r="C28" s="475"/>
      <c r="D28" s="475"/>
      <c r="E28" s="475"/>
      <c r="F28" s="475"/>
      <c r="G28" s="475"/>
      <c r="H28" s="476"/>
    </row>
    <row r="29" spans="2:24" ht="15" customHeight="1" x14ac:dyDescent="0.25">
      <c r="B29" s="468" t="s">
        <v>22</v>
      </c>
      <c r="C29" s="469"/>
      <c r="D29" s="469"/>
      <c r="E29" s="469"/>
      <c r="F29" s="63" t="s">
        <v>23</v>
      </c>
      <c r="G29" s="109">
        <f>G15-(G18+G24/2)-MAX(G18+G25/2,G19+G25/2)</f>
        <v>79</v>
      </c>
      <c r="H29" s="34" t="s">
        <v>7</v>
      </c>
      <c r="L29" s="67" t="s">
        <v>266</v>
      </c>
      <c r="M29" s="196">
        <f>(G24/2)^2*PI()</f>
        <v>153.93804002589985</v>
      </c>
      <c r="N29" s="2" t="s">
        <v>265</v>
      </c>
      <c r="P29" t="s">
        <v>269</v>
      </c>
      <c r="W29" s="42"/>
    </row>
    <row r="30" spans="2:24" ht="15" customHeight="1" thickBot="1" x14ac:dyDescent="0.3">
      <c r="B30" s="470" t="s">
        <v>24</v>
      </c>
      <c r="C30" s="471"/>
      <c r="D30" s="471"/>
      <c r="E30" s="471"/>
      <c r="F30" s="77" t="s">
        <v>25</v>
      </c>
      <c r="G30" s="110">
        <f>G29/TAN(RADIANS(G22))</f>
        <v>101.77146584841813</v>
      </c>
      <c r="H30" s="73" t="s">
        <v>7</v>
      </c>
      <c r="L30" s="67" t="s">
        <v>267</v>
      </c>
      <c r="M30" s="196">
        <f>(G25/2)^2*PI()</f>
        <v>78.539816339744831</v>
      </c>
      <c r="N30" s="2" t="s">
        <v>265</v>
      </c>
      <c r="P30" t="s">
        <v>270</v>
      </c>
      <c r="X30" s="69"/>
    </row>
    <row r="31" spans="2:24" ht="15" customHeight="1" x14ac:dyDescent="0.25">
      <c r="B31" s="455" t="s">
        <v>117</v>
      </c>
      <c r="C31" s="456"/>
      <c r="D31" s="456"/>
      <c r="E31" s="456"/>
      <c r="F31" s="456"/>
      <c r="G31" s="456"/>
      <c r="H31" s="457"/>
      <c r="L31" s="67" t="s">
        <v>268</v>
      </c>
      <c r="M31" s="196">
        <f>(G27/2)^2*PI()</f>
        <v>2375.8294442772813</v>
      </c>
      <c r="N31" s="2" t="s">
        <v>265</v>
      </c>
      <c r="P31" t="s">
        <v>271</v>
      </c>
    </row>
    <row r="32" spans="2:24" ht="15" customHeight="1" x14ac:dyDescent="0.25">
      <c r="B32" s="463" t="s">
        <v>116</v>
      </c>
      <c r="C32" s="464"/>
      <c r="D32" s="464"/>
      <c r="E32" s="464"/>
      <c r="F32" s="72" t="s">
        <v>26</v>
      </c>
      <c r="G32" s="205">
        <v>1000</v>
      </c>
      <c r="H32" s="74" t="s">
        <v>7</v>
      </c>
    </row>
    <row r="33" spans="2:20" ht="15" customHeight="1" x14ac:dyDescent="0.25">
      <c r="B33" s="463" t="s">
        <v>95</v>
      </c>
      <c r="C33" s="464"/>
      <c r="D33" s="464"/>
      <c r="E33" s="464"/>
      <c r="F33" s="70" t="s">
        <v>96</v>
      </c>
      <c r="G33" s="220">
        <f>IF('ESSE THERM in opera'!C8="ETmini8",250,IF('ESSE THERM in opera'!C8="ETmini12",250,200))</f>
        <v>200</v>
      </c>
      <c r="H33" s="71" t="s">
        <v>7</v>
      </c>
    </row>
    <row r="34" spans="2:20" ht="15" customHeight="1" thickBot="1" x14ac:dyDescent="0.3">
      <c r="B34" s="570" t="s">
        <v>118</v>
      </c>
      <c r="C34" s="571"/>
      <c r="D34" s="571"/>
      <c r="E34" s="571"/>
      <c r="F34" s="75" t="s">
        <v>119</v>
      </c>
      <c r="G34" s="92">
        <f>G32/G33</f>
        <v>5</v>
      </c>
      <c r="H34" s="76"/>
    </row>
    <row r="35" spans="2:20" ht="15" customHeight="1" thickBot="1" x14ac:dyDescent="0.3">
      <c r="B35" s="64"/>
      <c r="C35" s="64"/>
      <c r="D35" s="64"/>
      <c r="E35" s="64"/>
      <c r="F35" s="65"/>
      <c r="G35" s="66"/>
      <c r="H35" s="65"/>
    </row>
    <row r="36" spans="2:20" ht="15" customHeight="1" x14ac:dyDescent="0.25">
      <c r="B36" s="565" t="s">
        <v>178</v>
      </c>
      <c r="C36" s="84"/>
      <c r="D36" s="84"/>
      <c r="E36" s="84"/>
      <c r="F36" s="85"/>
      <c r="G36" s="86"/>
      <c r="H36" s="87"/>
    </row>
    <row r="37" spans="2:20" ht="15" customHeight="1" x14ac:dyDescent="0.25">
      <c r="B37" s="566"/>
      <c r="C37" s="64"/>
      <c r="D37" s="64"/>
      <c r="E37" s="64"/>
      <c r="F37" s="65"/>
      <c r="G37" s="66"/>
      <c r="H37" s="88"/>
    </row>
    <row r="38" spans="2:20" ht="15" customHeight="1" thickBot="1" x14ac:dyDescent="0.3">
      <c r="B38" s="567"/>
      <c r="C38" s="144"/>
      <c r="D38" s="144"/>
      <c r="E38" s="144"/>
      <c r="F38" s="145"/>
      <c r="G38" s="146"/>
      <c r="H38" s="147"/>
    </row>
    <row r="39" spans="2:20" ht="15" customHeight="1" x14ac:dyDescent="0.25">
      <c r="B39" s="93"/>
      <c r="C39" s="93"/>
      <c r="D39" s="93"/>
      <c r="E39" s="93"/>
      <c r="F39" s="93"/>
      <c r="G39" s="93"/>
      <c r="H39" s="93"/>
    </row>
    <row r="40" spans="2:20" s="25" customFormat="1" ht="15" customHeight="1" x14ac:dyDescent="0.25">
      <c r="B40" s="111"/>
      <c r="C40" s="111"/>
      <c r="D40" s="111"/>
      <c r="E40" s="111"/>
      <c r="F40" s="111"/>
      <c r="G40" s="111"/>
      <c r="H40" s="111"/>
    </row>
    <row r="41" spans="2:20" ht="15" customHeight="1" thickBot="1" x14ac:dyDescent="0.3"/>
    <row r="42" spans="2:20" ht="15" customHeight="1" thickBot="1" x14ac:dyDescent="0.4">
      <c r="B42" s="568" t="s">
        <v>259</v>
      </c>
      <c r="C42" s="569"/>
      <c r="D42" s="569"/>
      <c r="E42" s="569"/>
      <c r="F42" s="569"/>
      <c r="G42" s="569"/>
      <c r="H42" s="148" t="s">
        <v>183</v>
      </c>
    </row>
    <row r="43" spans="2:20" ht="15" customHeight="1" x14ac:dyDescent="0.3">
      <c r="B43" s="556" t="s">
        <v>73</v>
      </c>
      <c r="C43" s="557"/>
      <c r="D43" s="557"/>
      <c r="E43" s="557"/>
      <c r="F43" s="557"/>
      <c r="G43" s="557"/>
      <c r="H43" s="558"/>
      <c r="L43" s="559" t="s">
        <v>93</v>
      </c>
      <c r="M43" s="560"/>
      <c r="N43" s="560"/>
      <c r="O43" s="560"/>
      <c r="P43" s="560"/>
      <c r="Q43" s="561"/>
    </row>
    <row r="44" spans="2:20" ht="15" customHeight="1" x14ac:dyDescent="0.25">
      <c r="B44" s="510" t="s">
        <v>260</v>
      </c>
      <c r="C44" s="511"/>
      <c r="D44" s="511"/>
      <c r="E44" s="512"/>
      <c r="F44" s="182" t="s">
        <v>257</v>
      </c>
      <c r="G44" s="184">
        <f>G23/R23</f>
        <v>1.4090909090909092</v>
      </c>
      <c r="H44" s="185"/>
      <c r="L44" s="562" t="s">
        <v>34</v>
      </c>
      <c r="M44" s="563"/>
      <c r="N44" s="563"/>
      <c r="O44" s="564"/>
      <c r="P44" s="27">
        <f>G16+2*G25</f>
        <v>100</v>
      </c>
      <c r="Q44" s="28" t="s">
        <v>35</v>
      </c>
    </row>
    <row r="45" spans="2:20" ht="15" customHeight="1" x14ac:dyDescent="0.25">
      <c r="B45" s="510" t="s">
        <v>71</v>
      </c>
      <c r="C45" s="511"/>
      <c r="D45" s="511"/>
      <c r="E45" s="512"/>
      <c r="F45" s="142" t="s">
        <v>222</v>
      </c>
      <c r="G45" s="134">
        <f>(G20/2)^2*PI()*E11/1000*MIN(1,G44)</f>
        <v>11.06386978003362</v>
      </c>
      <c r="H45" s="143" t="s">
        <v>8</v>
      </c>
      <c r="L45" s="538" t="s">
        <v>36</v>
      </c>
      <c r="M45" s="539"/>
      <c r="N45" s="539"/>
      <c r="O45" s="539"/>
      <c r="P45" s="27">
        <v>0.5</v>
      </c>
      <c r="Q45" s="28" t="s">
        <v>37</v>
      </c>
    </row>
    <row r="46" spans="2:20" ht="15" customHeight="1" thickBot="1" x14ac:dyDescent="0.4">
      <c r="B46" s="540" t="s">
        <v>70</v>
      </c>
      <c r="C46" s="541"/>
      <c r="D46" s="541"/>
      <c r="E46" s="542"/>
      <c r="F46" s="103" t="s">
        <v>194</v>
      </c>
      <c r="G46" s="104">
        <f>G45*SIN(RADIANS(G22))</f>
        <v>6.7842309639038572</v>
      </c>
      <c r="H46" s="105" t="s">
        <v>8</v>
      </c>
      <c r="L46" s="538" t="s">
        <v>38</v>
      </c>
      <c r="M46" s="539"/>
      <c r="N46" s="539"/>
      <c r="O46" s="539"/>
      <c r="P46" s="29">
        <f>P44*P45</f>
        <v>50</v>
      </c>
      <c r="Q46" s="28" t="s">
        <v>35</v>
      </c>
    </row>
    <row r="47" spans="2:20" ht="15" customHeight="1" thickBot="1" x14ac:dyDescent="0.35">
      <c r="B47" s="535" t="s">
        <v>72</v>
      </c>
      <c r="C47" s="536"/>
      <c r="D47" s="536"/>
      <c r="E47" s="536"/>
      <c r="F47" s="536"/>
      <c r="G47" s="536"/>
      <c r="H47" s="537"/>
      <c r="L47" s="538" t="s">
        <v>39</v>
      </c>
      <c r="M47" s="539"/>
      <c r="N47" s="539"/>
      <c r="O47" s="539"/>
      <c r="P47" s="29">
        <f>G25</f>
        <v>10</v>
      </c>
      <c r="Q47" s="28" t="s">
        <v>35</v>
      </c>
    </row>
    <row r="48" spans="2:20" ht="15" customHeight="1" thickTop="1" x14ac:dyDescent="0.25">
      <c r="B48" s="552" t="s">
        <v>169</v>
      </c>
      <c r="C48" s="553"/>
      <c r="D48" s="553"/>
      <c r="E48" s="553"/>
      <c r="F48" s="127" t="s">
        <v>214</v>
      </c>
      <c r="G48" s="128">
        <f>E13*(G25/2)^2*PI()/1000</f>
        <v>30.732971611204501</v>
      </c>
      <c r="H48" s="129" t="s">
        <v>8</v>
      </c>
      <c r="L48" s="538" t="s">
        <v>40</v>
      </c>
      <c r="M48" s="539"/>
      <c r="N48" s="539"/>
      <c r="O48" s="539"/>
      <c r="P48" s="29">
        <f>PI()*P47^4/64</f>
        <v>490.87385212340519</v>
      </c>
      <c r="Q48" s="28" t="s">
        <v>41</v>
      </c>
      <c r="T48" t="s">
        <v>29</v>
      </c>
    </row>
    <row r="49" spans="2:22" ht="15" customHeight="1" x14ac:dyDescent="0.25">
      <c r="B49" s="513" t="s">
        <v>215</v>
      </c>
      <c r="C49" s="514"/>
      <c r="D49" s="514"/>
      <c r="E49" s="514"/>
      <c r="F49" s="130" t="s">
        <v>55</v>
      </c>
      <c r="G49" s="131">
        <f>IF(G27&gt;0,1,P57)</f>
        <v>1</v>
      </c>
      <c r="H49" s="132"/>
      <c r="L49" s="538" t="s">
        <v>42</v>
      </c>
      <c r="M49" s="539"/>
      <c r="N49" s="539"/>
      <c r="O49" s="539"/>
      <c r="P49" s="29">
        <f>G13</f>
        <v>210000</v>
      </c>
      <c r="Q49" s="28" t="s">
        <v>43</v>
      </c>
      <c r="T49" t="s">
        <v>168</v>
      </c>
    </row>
    <row r="50" spans="2:22" ht="15" customHeight="1" x14ac:dyDescent="0.25">
      <c r="B50" s="513" t="s">
        <v>258</v>
      </c>
      <c r="C50" s="514"/>
      <c r="D50" s="514"/>
      <c r="E50" s="514"/>
      <c r="F50" s="133" t="s">
        <v>216</v>
      </c>
      <c r="G50" s="134">
        <f>G26/R25</f>
        <v>0.81944444444444442</v>
      </c>
      <c r="H50" s="135"/>
      <c r="L50" s="538" t="s">
        <v>44</v>
      </c>
      <c r="M50" s="539"/>
      <c r="N50" s="539"/>
      <c r="O50" s="539"/>
      <c r="P50" s="29">
        <f>PI()^2*P49*P48/P46^2</f>
        <v>406957.3814289351</v>
      </c>
      <c r="Q50" s="28" t="s">
        <v>45</v>
      </c>
    </row>
    <row r="51" spans="2:22" ht="15" customHeight="1" thickBot="1" x14ac:dyDescent="0.3">
      <c r="B51" s="554" t="s">
        <v>170</v>
      </c>
      <c r="C51" s="555"/>
      <c r="D51" s="555"/>
      <c r="E51" s="555"/>
      <c r="F51" s="136" t="s">
        <v>217</v>
      </c>
      <c r="G51" s="137">
        <f>G48*MIN(G49,G50)</f>
        <v>25.183962848070355</v>
      </c>
      <c r="H51" s="138" t="s">
        <v>8</v>
      </c>
      <c r="L51" s="548" t="s">
        <v>46</v>
      </c>
      <c r="M51" s="549"/>
      <c r="N51" s="549"/>
      <c r="O51" s="549"/>
      <c r="P51" s="27">
        <v>1</v>
      </c>
      <c r="Q51" s="28" t="s">
        <v>37</v>
      </c>
    </row>
    <row r="52" spans="2:22" ht="15" customHeight="1" thickTop="1" x14ac:dyDescent="0.25">
      <c r="B52" s="552" t="s">
        <v>176</v>
      </c>
      <c r="C52" s="553"/>
      <c r="D52" s="553"/>
      <c r="E52" s="553"/>
      <c r="F52" s="127" t="s">
        <v>218</v>
      </c>
      <c r="G52" s="128">
        <f>IF(P10="x",MAX(((G27/2)^2*PI()-(G25/2)^2*PI())*E9/1000,0),0)</f>
        <v>58.580885512407178</v>
      </c>
      <c r="H52" s="129" t="s">
        <v>8</v>
      </c>
      <c r="L52" s="548" t="s">
        <v>47</v>
      </c>
      <c r="M52" s="549"/>
      <c r="N52" s="549"/>
      <c r="O52" s="549"/>
      <c r="P52" s="27">
        <f>C13</f>
        <v>450</v>
      </c>
      <c r="Q52" s="28" t="s">
        <v>43</v>
      </c>
      <c r="T52" t="s">
        <v>175</v>
      </c>
    </row>
    <row r="53" spans="2:22" ht="15" customHeight="1" x14ac:dyDescent="0.25">
      <c r="B53" s="513" t="s">
        <v>177</v>
      </c>
      <c r="C53" s="514"/>
      <c r="D53" s="514"/>
      <c r="E53" s="514"/>
      <c r="F53" s="130" t="s">
        <v>219</v>
      </c>
      <c r="G53" s="134">
        <f>IF(G27=0,0,U55)</f>
        <v>58.924899945877037</v>
      </c>
      <c r="H53" s="132" t="s">
        <v>8</v>
      </c>
      <c r="L53" s="548" t="s">
        <v>48</v>
      </c>
      <c r="M53" s="549"/>
      <c r="N53" s="549"/>
      <c r="O53" s="549"/>
      <c r="P53" s="29">
        <f>P52/1.15</f>
        <v>391.304347826087</v>
      </c>
      <c r="Q53" s="28" t="s">
        <v>43</v>
      </c>
      <c r="T53" t="s">
        <v>171</v>
      </c>
      <c r="U53">
        <f>(G27/2)^2*PI()-(G25/2)^2*PI()</f>
        <v>2297.2896279375364</v>
      </c>
      <c r="V53" t="s">
        <v>172</v>
      </c>
    </row>
    <row r="54" spans="2:22" ht="15" customHeight="1" thickBot="1" x14ac:dyDescent="0.3">
      <c r="B54" s="550" t="s">
        <v>220</v>
      </c>
      <c r="C54" s="551"/>
      <c r="D54" s="551"/>
      <c r="E54" s="551"/>
      <c r="F54" s="139" t="s">
        <v>221</v>
      </c>
      <c r="G54" s="140">
        <f>MIN(G52,G53)</f>
        <v>58.580885512407178</v>
      </c>
      <c r="H54" s="141" t="s">
        <v>8</v>
      </c>
      <c r="L54" s="548" t="s">
        <v>49</v>
      </c>
      <c r="M54" s="549"/>
      <c r="N54" s="549"/>
      <c r="O54" s="549"/>
      <c r="P54" s="7">
        <f>(P51*(P47/2)^2*PI()*P53/P50)^(1/2)</f>
        <v>0.27480701344807734</v>
      </c>
      <c r="Q54" s="28" t="s">
        <v>37</v>
      </c>
      <c r="T54" t="s">
        <v>173</v>
      </c>
      <c r="U54">
        <f>(G19+G25/2)^2*PI()-(G25/2)^2*PI()</f>
        <v>6003.5835610100949</v>
      </c>
      <c r="V54" t="s">
        <v>172</v>
      </c>
    </row>
    <row r="55" spans="2:22" ht="15" customHeight="1" thickTop="1" thickBot="1" x14ac:dyDescent="0.4">
      <c r="B55" s="506" t="s">
        <v>205</v>
      </c>
      <c r="C55" s="507"/>
      <c r="D55" s="507"/>
      <c r="E55" s="507"/>
      <c r="F55" s="96" t="s">
        <v>189</v>
      </c>
      <c r="G55" s="97">
        <f>G54+G51</f>
        <v>83.764848360477529</v>
      </c>
      <c r="H55" s="98" t="s">
        <v>8</v>
      </c>
      <c r="L55" s="548" t="s">
        <v>50</v>
      </c>
      <c r="M55" s="549"/>
      <c r="N55" s="549"/>
      <c r="O55" s="549"/>
      <c r="P55" s="7">
        <v>0.49</v>
      </c>
      <c r="Q55" s="28" t="s">
        <v>37</v>
      </c>
      <c r="T55" t="s">
        <v>174</v>
      </c>
      <c r="U55">
        <f>MIN(U53*E7*(U54/U53)^0.5/1000,3*E7*U53)</f>
        <v>58.924899945877037</v>
      </c>
      <c r="V55" t="s">
        <v>8</v>
      </c>
    </row>
    <row r="56" spans="2:22" ht="15" customHeight="1" thickTop="1" x14ac:dyDescent="0.25">
      <c r="B56" s="508" t="s">
        <v>69</v>
      </c>
      <c r="C56" s="509"/>
      <c r="D56" s="509"/>
      <c r="E56" s="509"/>
      <c r="F56" s="486" t="s">
        <v>77</v>
      </c>
      <c r="G56" s="488">
        <f>G55*G29/1000</f>
        <v>6.6174230204777249</v>
      </c>
      <c r="H56" s="490" t="s">
        <v>31</v>
      </c>
      <c r="L56" s="548" t="s">
        <v>51</v>
      </c>
      <c r="M56" s="549"/>
      <c r="N56" s="549"/>
      <c r="O56" s="549"/>
      <c r="P56" s="7">
        <f>0.5*(1+P55*(P54-0.2)+P54^2)</f>
        <v>0.5560871656149049</v>
      </c>
      <c r="Q56" s="28" t="s">
        <v>37</v>
      </c>
    </row>
    <row r="57" spans="2:22" ht="15" customHeight="1" thickBot="1" x14ac:dyDescent="0.4">
      <c r="B57" s="81" t="s">
        <v>30</v>
      </c>
      <c r="C57" s="82" t="s">
        <v>78</v>
      </c>
      <c r="D57" s="83">
        <f>CEILING(((G55/E13*1000)/PI())^0.5*2,2)</f>
        <v>18</v>
      </c>
      <c r="E57" s="82" t="s">
        <v>7</v>
      </c>
      <c r="F57" s="487"/>
      <c r="G57" s="489"/>
      <c r="H57" s="491"/>
      <c r="L57" s="548" t="s">
        <v>52</v>
      </c>
      <c r="M57" s="549"/>
      <c r="N57" s="549"/>
      <c r="O57" s="549"/>
      <c r="P57" s="7">
        <f>MIN(1/(P56+(P56^2-P54^2)^(1/2)),1)</f>
        <v>0.9619760065730476</v>
      </c>
      <c r="Q57" s="28" t="s">
        <v>37</v>
      </c>
      <c r="U57">
        <f>3*E7*U53/1000</f>
        <v>109.35098628982674</v>
      </c>
    </row>
    <row r="58" spans="2:22" ht="15" customHeight="1" thickBot="1" x14ac:dyDescent="0.35">
      <c r="B58" s="425" t="s">
        <v>65</v>
      </c>
      <c r="C58" s="426"/>
      <c r="D58" s="426"/>
      <c r="E58" s="426"/>
      <c r="F58" s="426"/>
      <c r="G58" s="426"/>
      <c r="H58" s="427"/>
      <c r="L58" s="546" t="s">
        <v>53</v>
      </c>
      <c r="M58" s="547"/>
      <c r="N58" s="547"/>
      <c r="O58" s="547"/>
      <c r="P58" s="30">
        <f>P57*P51*(P47/2)^2*PI()*P53/1.05/1000</f>
        <v>28.156553619685088</v>
      </c>
      <c r="Q58" s="31" t="s">
        <v>54</v>
      </c>
    </row>
    <row r="59" spans="2:22" ht="15" customHeight="1" thickBot="1" x14ac:dyDescent="0.4">
      <c r="B59" s="430" t="s">
        <v>66</v>
      </c>
      <c r="C59" s="431"/>
      <c r="D59" s="431"/>
      <c r="E59" s="432"/>
      <c r="F59" s="8" t="s">
        <v>63</v>
      </c>
      <c r="G59" s="11">
        <f>G61*G46</f>
        <v>0.18184143222506394</v>
      </c>
      <c r="H59" s="9" t="s">
        <v>7</v>
      </c>
    </row>
    <row r="60" spans="2:22" ht="15" customHeight="1" thickBot="1" x14ac:dyDescent="0.4">
      <c r="B60" s="433" t="s">
        <v>67</v>
      </c>
      <c r="C60" s="434"/>
      <c r="D60" s="434"/>
      <c r="E60" s="435"/>
      <c r="F60" s="99" t="s">
        <v>60</v>
      </c>
      <c r="G60" s="100">
        <f>M64</f>
        <v>0.378930121999559</v>
      </c>
      <c r="H60" s="101" t="s">
        <v>19</v>
      </c>
      <c r="L60" s="543" t="s">
        <v>68</v>
      </c>
      <c r="M60" s="544"/>
      <c r="N60" s="545"/>
      <c r="O60" s="1"/>
    </row>
    <row r="61" spans="2:22" ht="15" customHeight="1" thickTop="1" x14ac:dyDescent="0.25">
      <c r="B61" s="422" t="s">
        <v>61</v>
      </c>
      <c r="C61" s="423"/>
      <c r="D61" s="423"/>
      <c r="E61" s="424"/>
      <c r="F61" s="52" t="s">
        <v>206</v>
      </c>
      <c r="G61" s="186">
        <f>G29/G11/(G20/2)^2/PI()/SIN(RADIANS(G22))*1000</f>
        <v>2.680354386408253E-2</v>
      </c>
      <c r="H61" s="102" t="s">
        <v>62</v>
      </c>
      <c r="L61" s="32" t="s">
        <v>57</v>
      </c>
      <c r="M61" s="215">
        <f>(E13/G13)*(20*G24)</f>
        <v>0.52173913043478271</v>
      </c>
      <c r="N61" s="5" t="s">
        <v>7</v>
      </c>
    </row>
    <row r="62" spans="2:22" ht="15" customHeight="1" thickBot="1" x14ac:dyDescent="0.4">
      <c r="B62" s="449" t="s">
        <v>75</v>
      </c>
      <c r="C62" s="450"/>
      <c r="D62" s="450"/>
      <c r="E62" s="451"/>
      <c r="F62" s="13" t="s">
        <v>207</v>
      </c>
      <c r="G62" s="187">
        <f>G60/G66</f>
        <v>7.9629027587521439E-2</v>
      </c>
      <c r="H62" s="14" t="s">
        <v>64</v>
      </c>
      <c r="L62" s="32" t="s">
        <v>58</v>
      </c>
      <c r="M62" s="6">
        <f>IF(G27=0,M61*G25/G24,((E9/G9)*R62+E13/G13*R63)/(R62+R63))</f>
        <v>7.4117009496755745E-4</v>
      </c>
      <c r="N62" s="5" t="s">
        <v>7</v>
      </c>
      <c r="Q62" s="94" t="s">
        <v>275</v>
      </c>
      <c r="R62" s="197">
        <f>(G27/2)^2*PI()-(G25/2)^2*PI()</f>
        <v>2297.2896279375364</v>
      </c>
      <c r="S62" s="2" t="s">
        <v>265</v>
      </c>
      <c r="T62" s="94" t="s">
        <v>273</v>
      </c>
    </row>
    <row r="63" spans="2:22" ht="15" customHeight="1" x14ac:dyDescent="0.35">
      <c r="B63" s="452" t="s">
        <v>76</v>
      </c>
      <c r="C63" s="453"/>
      <c r="D63" s="453"/>
      <c r="E63" s="453"/>
      <c r="F63" s="453"/>
      <c r="G63" s="453"/>
      <c r="H63" s="454"/>
      <c r="L63" s="20" t="s">
        <v>59</v>
      </c>
      <c r="M63" s="6">
        <f>(M61+M62)/G29</f>
        <v>6.6136746902500029E-3</v>
      </c>
      <c r="N63" s="5"/>
      <c r="Q63" s="95" t="s">
        <v>276</v>
      </c>
      <c r="R63" s="198">
        <f>(G25/2)^2*PI()</f>
        <v>78.539816339744831</v>
      </c>
      <c r="S63" s="2" t="s">
        <v>265</v>
      </c>
      <c r="T63" s="94" t="s">
        <v>274</v>
      </c>
    </row>
    <row r="64" spans="2:22" ht="15" customHeight="1" thickBot="1" x14ac:dyDescent="0.4">
      <c r="B64" s="438" t="s">
        <v>204</v>
      </c>
      <c r="C64" s="439"/>
      <c r="D64" s="439"/>
      <c r="E64" s="440"/>
      <c r="F64" s="16" t="s">
        <v>94</v>
      </c>
      <c r="G64" s="152">
        <f>(G24/2)^2*PI()*E13/1000</f>
        <v>60.236624357960821</v>
      </c>
      <c r="H64" s="17" t="s">
        <v>8</v>
      </c>
      <c r="L64" s="33" t="s">
        <v>60</v>
      </c>
      <c r="M64" s="21">
        <f>DEGREES(ATAN(M63))</f>
        <v>0.378930121999559</v>
      </c>
      <c r="N64" s="10" t="s">
        <v>19</v>
      </c>
      <c r="Q64" s="22"/>
      <c r="R64" s="23"/>
      <c r="S64" s="23"/>
    </row>
    <row r="65" spans="2:19" ht="15" customHeight="1" x14ac:dyDescent="0.35">
      <c r="B65" s="438" t="s">
        <v>32</v>
      </c>
      <c r="C65" s="439"/>
      <c r="D65" s="439"/>
      <c r="E65" s="440"/>
      <c r="F65" s="18" t="s">
        <v>81</v>
      </c>
      <c r="G65" s="152">
        <f>G64*G29/1000</f>
        <v>4.7586933242789042</v>
      </c>
      <c r="H65" s="19" t="s">
        <v>31</v>
      </c>
      <c r="Q65" s="22"/>
      <c r="R65" s="23"/>
      <c r="S65" s="23"/>
    </row>
    <row r="66" spans="2:19" ht="15" customHeight="1" thickBot="1" x14ac:dyDescent="0.4">
      <c r="B66" s="441" t="s">
        <v>80</v>
      </c>
      <c r="C66" s="442"/>
      <c r="D66" s="443"/>
      <c r="E66" s="106">
        <f>G24</f>
        <v>14</v>
      </c>
      <c r="F66" s="107" t="s">
        <v>195</v>
      </c>
      <c r="G66" s="153">
        <f>MIN(G65,G56)</f>
        <v>4.7586933242789042</v>
      </c>
      <c r="H66" s="108" t="s">
        <v>31</v>
      </c>
      <c r="Q66" s="24"/>
      <c r="R66" s="3"/>
      <c r="S66" s="3"/>
    </row>
    <row r="67" spans="2:19" ht="15" customHeight="1" thickBot="1" x14ac:dyDescent="0.3">
      <c r="B67" s="36"/>
      <c r="C67" s="36"/>
      <c r="D67" s="36"/>
      <c r="E67" s="36"/>
      <c r="F67" s="1"/>
      <c r="G67" s="15"/>
      <c r="H67" s="1"/>
      <c r="Q67" s="24"/>
      <c r="R67" s="3"/>
      <c r="S67" s="3"/>
    </row>
    <row r="68" spans="2:19" ht="15" customHeight="1" thickBot="1" x14ac:dyDescent="0.3">
      <c r="B68" s="444" t="s">
        <v>213</v>
      </c>
      <c r="C68" s="445"/>
      <c r="D68" s="445"/>
      <c r="E68" s="445"/>
      <c r="F68" s="445"/>
      <c r="G68" s="445"/>
      <c r="H68" s="446"/>
      <c r="Q68" s="24"/>
      <c r="R68" s="3"/>
      <c r="S68" s="3"/>
    </row>
    <row r="69" spans="2:19" ht="15" customHeight="1" x14ac:dyDescent="0.25">
      <c r="B69" s="447" t="s">
        <v>97</v>
      </c>
      <c r="C69" s="448"/>
      <c r="D69" s="448"/>
      <c r="E69" s="448"/>
      <c r="F69" s="112" t="s">
        <v>209</v>
      </c>
      <c r="G69" s="113">
        <f>G66*G32/G33</f>
        <v>23.793466621394522</v>
      </c>
      <c r="H69" s="114" t="s">
        <v>98</v>
      </c>
      <c r="Q69" s="24"/>
      <c r="R69" s="3"/>
      <c r="S69" s="3"/>
    </row>
    <row r="70" spans="2:19" ht="15" customHeight="1" thickBot="1" x14ac:dyDescent="0.3">
      <c r="B70" s="428" t="s">
        <v>100</v>
      </c>
      <c r="C70" s="429"/>
      <c r="D70" s="429"/>
      <c r="E70" s="429"/>
      <c r="F70" s="115" t="s">
        <v>210</v>
      </c>
      <c r="G70" s="116">
        <f>G46*G32/G33</f>
        <v>33.92115481951928</v>
      </c>
      <c r="H70" s="117" t="s">
        <v>99</v>
      </c>
      <c r="Q70" s="24"/>
      <c r="R70" s="3"/>
      <c r="S70" s="3"/>
    </row>
    <row r="71" spans="2:19" ht="15" customHeight="1" x14ac:dyDescent="0.3">
      <c r="B71" s="436" t="s">
        <v>61</v>
      </c>
      <c r="C71" s="437"/>
      <c r="D71" s="437"/>
      <c r="E71" s="437"/>
      <c r="F71" s="118" t="s">
        <v>211</v>
      </c>
      <c r="G71" s="119">
        <f>G61/G34</f>
        <v>5.3607087728165057E-3</v>
      </c>
      <c r="H71" s="120" t="s">
        <v>62</v>
      </c>
      <c r="Q71" s="24"/>
      <c r="R71" s="4"/>
      <c r="S71" s="3"/>
    </row>
    <row r="72" spans="2:19" ht="15" customHeight="1" thickBot="1" x14ac:dyDescent="0.35">
      <c r="B72" s="420" t="s">
        <v>75</v>
      </c>
      <c r="C72" s="421"/>
      <c r="D72" s="421"/>
      <c r="E72" s="421"/>
      <c r="F72" s="121" t="s">
        <v>212</v>
      </c>
      <c r="G72" s="122">
        <f>G62/G34</f>
        <v>1.5925805517504287E-2</v>
      </c>
      <c r="H72" s="123" t="s">
        <v>64</v>
      </c>
    </row>
    <row r="73" spans="2:19" ht="15" customHeight="1" thickBot="1" x14ac:dyDescent="0.35">
      <c r="B73" s="414" t="s">
        <v>208</v>
      </c>
      <c r="C73" s="415"/>
      <c r="D73" s="415"/>
      <c r="E73" s="415"/>
      <c r="F73" s="415" t="str">
        <f>IF(G65&gt;G56,"PUNTONE-FRAGILE","TIRANTE-DUTTILE")</f>
        <v>TIRANTE-DUTTILE</v>
      </c>
      <c r="G73" s="415"/>
      <c r="H73" s="416"/>
    </row>
    <row r="74" spans="2:19" ht="15" customHeight="1" thickBot="1" x14ac:dyDescent="0.3"/>
    <row r="75" spans="2:19" ht="15" customHeight="1" x14ac:dyDescent="0.3">
      <c r="B75" s="417" t="s">
        <v>179</v>
      </c>
      <c r="C75" s="418"/>
      <c r="D75" s="418"/>
      <c r="E75" s="418"/>
      <c r="F75" s="418"/>
      <c r="G75" s="418"/>
      <c r="H75" s="419"/>
    </row>
    <row r="76" spans="2:19" ht="15" customHeight="1" x14ac:dyDescent="0.25">
      <c r="B76" s="89"/>
      <c r="C76" s="1"/>
      <c r="D76" s="1"/>
      <c r="E76" s="1"/>
      <c r="F76" s="1"/>
      <c r="G76" s="1"/>
      <c r="H76" s="90"/>
    </row>
    <row r="77" spans="2:19" ht="15" customHeight="1" x14ac:dyDescent="0.25">
      <c r="B77" s="89"/>
      <c r="C77" s="1"/>
      <c r="D77" s="1"/>
      <c r="E77" s="1"/>
      <c r="F77" s="1"/>
      <c r="G77" s="1"/>
      <c r="H77" s="90"/>
    </row>
    <row r="78" spans="2:19" ht="15" customHeight="1" x14ac:dyDescent="0.25">
      <c r="B78" s="89"/>
      <c r="C78" s="1"/>
      <c r="D78" s="1"/>
      <c r="E78" s="1"/>
      <c r="F78" s="1"/>
      <c r="G78" s="1"/>
      <c r="H78" s="90"/>
    </row>
    <row r="79" spans="2:19" ht="15" customHeight="1" x14ac:dyDescent="0.25">
      <c r="B79" s="89"/>
      <c r="C79" s="1"/>
      <c r="D79" s="1"/>
      <c r="E79" s="1"/>
      <c r="F79" s="1"/>
      <c r="G79" s="1"/>
      <c r="H79" s="90"/>
    </row>
    <row r="80" spans="2:19" ht="15" customHeight="1" x14ac:dyDescent="0.25">
      <c r="B80" s="89"/>
      <c r="C80" s="1"/>
      <c r="D80" s="1"/>
      <c r="E80" s="1"/>
      <c r="F80" s="1"/>
      <c r="G80" s="1"/>
      <c r="H80" s="90"/>
    </row>
    <row r="81" spans="2:8" ht="15" customHeight="1" x14ac:dyDescent="0.25">
      <c r="B81" s="89"/>
      <c r="C81" s="1"/>
      <c r="D81" s="1"/>
      <c r="E81" s="1"/>
      <c r="F81" s="1"/>
      <c r="G81" s="1"/>
      <c r="H81" s="90"/>
    </row>
    <row r="82" spans="2:8" ht="15" customHeight="1" x14ac:dyDescent="0.25">
      <c r="B82" s="89"/>
      <c r="C82" s="1"/>
      <c r="D82" s="1"/>
      <c r="E82" s="1"/>
      <c r="F82" s="1"/>
      <c r="G82" s="1"/>
      <c r="H82" s="90"/>
    </row>
    <row r="83" spans="2:8" ht="15" customHeight="1" x14ac:dyDescent="0.25">
      <c r="B83" s="89"/>
      <c r="C83" s="1"/>
      <c r="D83" s="1"/>
      <c r="E83" s="1"/>
      <c r="F83" s="1"/>
      <c r="G83" s="1"/>
      <c r="H83" s="90"/>
    </row>
    <row r="84" spans="2:8" ht="15" customHeight="1" x14ac:dyDescent="0.25">
      <c r="B84" s="89"/>
      <c r="C84" s="1"/>
      <c r="D84" s="1"/>
      <c r="E84" s="1"/>
      <c r="F84" s="1"/>
      <c r="G84" s="1"/>
      <c r="H84" s="90"/>
    </row>
    <row r="85" spans="2:8" ht="15" customHeight="1" x14ac:dyDescent="0.25">
      <c r="B85" s="89"/>
      <c r="C85" s="1"/>
      <c r="D85" s="1"/>
      <c r="E85" s="1"/>
      <c r="F85" s="1"/>
      <c r="G85" s="1"/>
      <c r="H85" s="90"/>
    </row>
    <row r="86" spans="2:8" ht="15" customHeight="1" thickBot="1" x14ac:dyDescent="0.3">
      <c r="B86" s="124"/>
      <c r="C86" s="125"/>
      <c r="D86" s="125"/>
      <c r="E86" s="125"/>
      <c r="F86" s="125"/>
      <c r="G86" s="125"/>
      <c r="H86" s="126"/>
    </row>
    <row r="87" spans="2:8" ht="15" customHeight="1" x14ac:dyDescent="0.25"/>
    <row r="88" spans="2:8" s="25" customFormat="1" ht="15" customHeight="1" x14ac:dyDescent="0.25"/>
    <row r="89" spans="2:8" ht="15" customHeight="1" x14ac:dyDescent="0.25"/>
    <row r="90" spans="2:8" ht="15" customHeight="1" x14ac:dyDescent="0.25"/>
    <row r="91" spans="2:8" ht="15" customHeight="1" x14ac:dyDescent="0.3">
      <c r="B91" s="413" t="s">
        <v>246</v>
      </c>
      <c r="C91" s="413"/>
      <c r="D91" s="413"/>
      <c r="E91" s="413"/>
      <c r="F91" s="413"/>
      <c r="G91" s="413"/>
      <c r="H91" s="413"/>
    </row>
    <row r="92" spans="2:8" ht="15" customHeight="1" x14ac:dyDescent="0.25">
      <c r="B92" s="172"/>
      <c r="C92" s="173" t="s">
        <v>249</v>
      </c>
      <c r="D92" s="173" t="s">
        <v>250</v>
      </c>
      <c r="E92" s="173" t="s">
        <v>251</v>
      </c>
      <c r="F92" s="173" t="s">
        <v>252</v>
      </c>
      <c r="G92" s="174" t="s">
        <v>253</v>
      </c>
      <c r="H92" s="175" t="s">
        <v>254</v>
      </c>
    </row>
    <row r="93" spans="2:8" ht="15" customHeight="1" x14ac:dyDescent="0.25">
      <c r="B93" s="78" t="s">
        <v>247</v>
      </c>
      <c r="C93" s="79" t="s">
        <v>239</v>
      </c>
      <c r="D93" s="78" t="s">
        <v>243</v>
      </c>
      <c r="E93" s="78" t="s">
        <v>242</v>
      </c>
      <c r="F93" s="78" t="s">
        <v>241</v>
      </c>
      <c r="G93" s="78" t="s">
        <v>119</v>
      </c>
      <c r="H93" s="176" t="s">
        <v>255</v>
      </c>
    </row>
    <row r="94" spans="2:8" ht="15" customHeight="1" x14ac:dyDescent="0.25">
      <c r="B94" s="78" t="s">
        <v>244</v>
      </c>
      <c r="C94" s="171">
        <f>(G20/2)^2*PI()</f>
        <v>28.274333882308138</v>
      </c>
      <c r="D94" s="38">
        <f>C94*C97/1000000</f>
        <v>0.22053980428200348</v>
      </c>
      <c r="E94" s="171">
        <f>2*G17+G29+G29/SIN(RADIANS(G22))</f>
        <v>607.83489923516743</v>
      </c>
      <c r="F94" s="38">
        <f>D94*E94/1000</f>
        <v>0.13405178971309514</v>
      </c>
      <c r="G94" s="411">
        <f>G34</f>
        <v>5</v>
      </c>
      <c r="H94" s="177">
        <f>F94*G94</f>
        <v>0.67025894856547574</v>
      </c>
    </row>
    <row r="95" spans="2:8" ht="15" customHeight="1" x14ac:dyDescent="0.25">
      <c r="B95" s="78" t="s">
        <v>245</v>
      </c>
      <c r="C95" s="171">
        <f>(G25/2)^2*PI()</f>
        <v>78.539816339744831</v>
      </c>
      <c r="D95" s="38">
        <f>C95*C97/1000000</f>
        <v>0.61261056745000964</v>
      </c>
      <c r="E95" s="171">
        <f>(G17+G17+G16)+G29*2</f>
        <v>638</v>
      </c>
      <c r="F95" s="38">
        <f>D95*E95/1000</f>
        <v>0.39084554203310612</v>
      </c>
      <c r="G95" s="412"/>
      <c r="H95" s="177">
        <f>F95*G94</f>
        <v>1.9542277101655305</v>
      </c>
    </row>
    <row r="96" spans="2:8" ht="15" customHeight="1" x14ac:dyDescent="0.25"/>
    <row r="97" spans="2:4" ht="15" customHeight="1" x14ac:dyDescent="0.25">
      <c r="B97" s="6" t="s">
        <v>248</v>
      </c>
      <c r="C97" s="6">
        <v>7800</v>
      </c>
      <c r="D97" s="6" t="s">
        <v>240</v>
      </c>
    </row>
    <row r="98" spans="2:4" ht="15" customHeight="1" x14ac:dyDescent="0.25"/>
    <row r="99" spans="2:4" s="25" customFormat="1" ht="15" customHeight="1" x14ac:dyDescent="0.25"/>
    <row r="100" spans="2:4" ht="15" customHeight="1" x14ac:dyDescent="0.25"/>
    <row r="101" spans="2:4" ht="15" customHeight="1" x14ac:dyDescent="0.25"/>
    <row r="102" spans="2:4" ht="15" customHeight="1" x14ac:dyDescent="0.25"/>
    <row r="103" spans="2:4" ht="15" customHeight="1" x14ac:dyDescent="0.25"/>
    <row r="104" spans="2:4" ht="15" customHeight="1" x14ac:dyDescent="0.25"/>
    <row r="105" spans="2:4" ht="15" customHeight="1" x14ac:dyDescent="0.25"/>
    <row r="106" spans="2:4" ht="15" customHeight="1" x14ac:dyDescent="0.25"/>
    <row r="107" spans="2:4" ht="15" customHeight="1" x14ac:dyDescent="0.25"/>
    <row r="108" spans="2:4" ht="15" customHeight="1" x14ac:dyDescent="0.25"/>
    <row r="109" spans="2:4" ht="15" customHeight="1" x14ac:dyDescent="0.25"/>
    <row r="110" spans="2:4" ht="15" customHeight="1" x14ac:dyDescent="0.25"/>
    <row r="111" spans="2:4" ht="15" customHeight="1" x14ac:dyDescent="0.25"/>
    <row r="112" spans="2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</sheetData>
  <sheetProtection password="C941" sheet="1" objects="1" scenarios="1" formatCells="0" formatColumns="0" formatRows="0" insertColumns="0" insertRows="0" insertHyperlinks="0" deleteColumns="0" deleteRows="0" sort="0" autoFilter="0" pivotTables="0"/>
  <mergeCells count="98">
    <mergeCell ref="L6:O6"/>
    <mergeCell ref="L9:Q9"/>
    <mergeCell ref="L10:O10"/>
    <mergeCell ref="L11:Q11"/>
    <mergeCell ref="P10:Q10"/>
    <mergeCell ref="L54:O54"/>
    <mergeCell ref="L53:O53"/>
    <mergeCell ref="L52:O52"/>
    <mergeCell ref="L51:O51"/>
    <mergeCell ref="L50:O50"/>
    <mergeCell ref="L48:O48"/>
    <mergeCell ref="L21:O21"/>
    <mergeCell ref="P21:Q21"/>
    <mergeCell ref="L13:Q13"/>
    <mergeCell ref="N20:Q20"/>
    <mergeCell ref="B32:E32"/>
    <mergeCell ref="B33:E33"/>
    <mergeCell ref="L45:O45"/>
    <mergeCell ref="B43:H43"/>
    <mergeCell ref="L43:Q43"/>
    <mergeCell ref="L44:O44"/>
    <mergeCell ref="B36:B38"/>
    <mergeCell ref="B42:G42"/>
    <mergeCell ref="B44:E44"/>
    <mergeCell ref="B34:E34"/>
    <mergeCell ref="B47:H47"/>
    <mergeCell ref="L47:O47"/>
    <mergeCell ref="L46:O46"/>
    <mergeCell ref="B46:E46"/>
    <mergeCell ref="L60:N60"/>
    <mergeCell ref="L58:O58"/>
    <mergeCell ref="L57:O57"/>
    <mergeCell ref="L56:O56"/>
    <mergeCell ref="L55:O55"/>
    <mergeCell ref="B53:E53"/>
    <mergeCell ref="B54:E54"/>
    <mergeCell ref="B50:E50"/>
    <mergeCell ref="B52:E52"/>
    <mergeCell ref="B48:E48"/>
    <mergeCell ref="B51:E51"/>
    <mergeCell ref="L49:O49"/>
    <mergeCell ref="B10:C10"/>
    <mergeCell ref="D10:H10"/>
    <mergeCell ref="B22:E22"/>
    <mergeCell ref="B23:E23"/>
    <mergeCell ref="B18:E18"/>
    <mergeCell ref="B19:E19"/>
    <mergeCell ref="B20:E20"/>
    <mergeCell ref="B21:E21"/>
    <mergeCell ref="G14:H14"/>
    <mergeCell ref="B14:E14"/>
    <mergeCell ref="B2:G2"/>
    <mergeCell ref="F56:F57"/>
    <mergeCell ref="G56:G57"/>
    <mergeCell ref="H56:H57"/>
    <mergeCell ref="B3:C3"/>
    <mergeCell ref="D3:H3"/>
    <mergeCell ref="B6:C6"/>
    <mergeCell ref="D6:H6"/>
    <mergeCell ref="B5:H5"/>
    <mergeCell ref="B12:C12"/>
    <mergeCell ref="B55:E55"/>
    <mergeCell ref="B56:E56"/>
    <mergeCell ref="B45:E45"/>
    <mergeCell ref="B49:E49"/>
    <mergeCell ref="B8:C8"/>
    <mergeCell ref="D8:H8"/>
    <mergeCell ref="B31:H31"/>
    <mergeCell ref="D12:H12"/>
    <mergeCell ref="B15:E15"/>
    <mergeCell ref="B16:E16"/>
    <mergeCell ref="B17:E17"/>
    <mergeCell ref="B29:E29"/>
    <mergeCell ref="B30:E30"/>
    <mergeCell ref="B27:E27"/>
    <mergeCell ref="B28:H28"/>
    <mergeCell ref="B24:E24"/>
    <mergeCell ref="B25:E25"/>
    <mergeCell ref="B26:E26"/>
    <mergeCell ref="B72:E72"/>
    <mergeCell ref="B61:E61"/>
    <mergeCell ref="B58:H58"/>
    <mergeCell ref="B70:E70"/>
    <mergeCell ref="B59:E59"/>
    <mergeCell ref="B60:E60"/>
    <mergeCell ref="B71:E71"/>
    <mergeCell ref="B64:E64"/>
    <mergeCell ref="B65:E65"/>
    <mergeCell ref="B66:D66"/>
    <mergeCell ref="B68:H68"/>
    <mergeCell ref="B69:E69"/>
    <mergeCell ref="B62:E62"/>
    <mergeCell ref="B63:H63"/>
    <mergeCell ref="G94:G95"/>
    <mergeCell ref="B91:H91"/>
    <mergeCell ref="B73:E73"/>
    <mergeCell ref="F73:H73"/>
    <mergeCell ref="B75:H75"/>
  </mergeCells>
  <conditionalFormatting sqref="F73:H73">
    <cfRule type="cellIs" dxfId="7" priority="9" operator="equal">
      <formula>"PUNTONE-FRAGILE"</formula>
    </cfRule>
    <cfRule type="cellIs" dxfId="6" priority="10" operator="equal">
      <formula>"TIRANTE-DUTTILE"</formula>
    </cfRule>
  </conditionalFormatting>
  <conditionalFormatting sqref="P14">
    <cfRule type="cellIs" dxfId="5" priority="5" operator="lessThan">
      <formula>0.2</formula>
    </cfRule>
    <cfRule type="cellIs" dxfId="4" priority="6" operator="greaterThan">
      <formula>0.2</formula>
    </cfRule>
  </conditionalFormatting>
  <conditionalFormatting sqref="Q14">
    <cfRule type="cellIs" dxfId="3" priority="3" operator="equal">
      <formula>"NO"</formula>
    </cfRule>
    <cfRule type="cellIs" dxfId="2" priority="4" operator="equal">
      <formula>"OK"</formula>
    </cfRule>
  </conditionalFormatting>
  <conditionalFormatting sqref="G17">
    <cfRule type="cellIs" dxfId="1" priority="2" operator="lessThan">
      <formula>$G$21</formula>
    </cfRule>
  </conditionalFormatting>
  <conditionalFormatting sqref="G25">
    <cfRule type="expression" dxfId="0" priority="1">
      <formula>$P$14&lt;0.2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horizontalDpi="4294967295" r:id="rId1"/>
  <drawing r:id="rId2"/>
  <legacyDrawing r:id="rId3"/>
  <oleObjects>
    <mc:AlternateContent xmlns:mc="http://schemas.openxmlformats.org/markup-compatibility/2006">
      <mc:Choice Requires="x14">
        <oleObject progId="AutoCAD.Drawing.18" shapeId="2" r:id="rId4">
          <objectPr defaultSize="0" autoPict="0" r:id="rId5">
            <anchor moveWithCells="1" sizeWithCells="1">
              <from>
                <xdr:col>17</xdr:col>
                <xdr:colOff>114300</xdr:colOff>
                <xdr:row>12</xdr:row>
                <xdr:rowOff>133350</xdr:rowOff>
              </from>
              <to>
                <xdr:col>27</xdr:col>
                <xdr:colOff>19050</xdr:colOff>
                <xdr:row>23</xdr:row>
                <xdr:rowOff>76200</xdr:rowOff>
              </to>
            </anchor>
          </objectPr>
        </oleObject>
      </mc:Choice>
      <mc:Fallback>
        <oleObject progId="AutoCAD.Drawing.1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10</vt:i4>
      </vt:variant>
    </vt:vector>
  </HeadingPairs>
  <TitlesOfParts>
    <vt:vector size="12" baseType="lpstr">
      <vt:lpstr>ESSE THERM in opera</vt:lpstr>
      <vt:lpstr>Dati e Calcolo ESSE THERM</vt:lpstr>
      <vt:lpstr>altezze</vt:lpstr>
      <vt:lpstr>Altezze2</vt:lpstr>
      <vt:lpstr>'Dati e Calcolo ESSE THERM'!Area_stampa</vt:lpstr>
      <vt:lpstr>'ESSE THERM in opera'!Area_stampa</vt:lpstr>
      <vt:lpstr>cem</vt:lpstr>
      <vt:lpstr>diametri</vt:lpstr>
      <vt:lpstr>Ferri2</vt:lpstr>
      <vt:lpstr>modelli</vt:lpstr>
      <vt:lpstr>modello</vt:lpstr>
      <vt:lpstr>Modello2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2015-05-18T10:44:04Z</dcterms:modified>
</cp:coreProperties>
</file>